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10050" activeTab="3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<sst xmlns="http://schemas.openxmlformats.org/spreadsheetml/2006/main" count="3761" uniqueCount="256">
  <si>
    <t>ФИНАНСОВЫЙ ОТЧЕТ</t>
  </si>
  <si>
    <t xml:space="preserve">                                                                                                                     ЧОУРО "Православная гимназия" </t>
  </si>
  <si>
    <t xml:space="preserve">        (наименование гимназии)</t>
  </si>
  <si>
    <t>Денежные средства на начало периода</t>
  </si>
  <si>
    <t>целевые поступления (Церковь, Епархия)</t>
  </si>
  <si>
    <t>средства, получаемые из бюджета</t>
  </si>
  <si>
    <t>благотворительная помощь</t>
  </si>
  <si>
    <t>добровольное пожертвование</t>
  </si>
  <si>
    <t>прочие поступления</t>
  </si>
  <si>
    <t>возмещение ФСС</t>
  </si>
  <si>
    <t>школа буд.первоклассника</t>
  </si>
  <si>
    <t>Прочие поступления.Возмещения</t>
  </si>
  <si>
    <t>в т.ч. касса</t>
  </si>
  <si>
    <t>расчетный счет</t>
  </si>
  <si>
    <t xml:space="preserve">Наименование </t>
  </si>
  <si>
    <t xml:space="preserve">Отчетный месяц                                                                                            </t>
  </si>
  <si>
    <t>нарастающим с начало года</t>
  </si>
  <si>
    <t>отклонения</t>
  </si>
  <si>
    <t>отклонение  (с начало года)</t>
  </si>
  <si>
    <t xml:space="preserve">кредит-кая задол. на начало месяца         </t>
  </si>
  <si>
    <t xml:space="preserve">кредит-кая задол. на конец месяца           </t>
  </si>
  <si>
    <t>1</t>
  </si>
  <si>
    <t>2</t>
  </si>
  <si>
    <t xml:space="preserve">ВСЕГО </t>
  </si>
  <si>
    <t>план (месяц)</t>
  </si>
  <si>
    <t>план с начала года</t>
  </si>
  <si>
    <t>факт</t>
  </si>
  <si>
    <t>ИТОГО</t>
  </si>
  <si>
    <t>месяц</t>
  </si>
  <si>
    <t>средства, получаемые из бюджета (субвенция)</t>
  </si>
  <si>
    <t>Расходы</t>
  </si>
  <si>
    <t>отчетный месяц       (факт)</t>
  </si>
  <si>
    <t>целевые поступления (епархия)</t>
  </si>
  <si>
    <t>субвенция</t>
  </si>
  <si>
    <t>благотворительная помощь,добровольное пожертвование</t>
  </si>
  <si>
    <t>прочие поступления, возмещение ФСС</t>
  </si>
  <si>
    <t>Заработная плата</t>
  </si>
  <si>
    <t>Начисления на оплату труда</t>
  </si>
  <si>
    <t>3</t>
  </si>
  <si>
    <t>Услуги связи в том числе:</t>
  </si>
  <si>
    <t>3.1</t>
  </si>
  <si>
    <t>телефон</t>
  </si>
  <si>
    <t>3.2</t>
  </si>
  <si>
    <t>интернет</t>
  </si>
  <si>
    <t>3.3</t>
  </si>
  <si>
    <t>радио</t>
  </si>
  <si>
    <t>4</t>
  </si>
  <si>
    <t>Транспортные услуги ( в том числе)</t>
  </si>
  <si>
    <t>4.1</t>
  </si>
  <si>
    <t>проезд в случае служебных командировок</t>
  </si>
  <si>
    <t>4.2</t>
  </si>
  <si>
    <t>проезд на курсы повышения квалификации</t>
  </si>
  <si>
    <t>4.3</t>
  </si>
  <si>
    <t>оплата  доставки груза</t>
  </si>
  <si>
    <t>5</t>
  </si>
  <si>
    <t>Оплата ГСМ , техосмотр, страховка, запчасти</t>
  </si>
  <si>
    <t>6</t>
  </si>
  <si>
    <t>Коммунальные услуги (согласно договоров) в том числе:</t>
  </si>
  <si>
    <t>6.1</t>
  </si>
  <si>
    <t>Оплата потребления электроэнер</t>
  </si>
  <si>
    <t>6.2</t>
  </si>
  <si>
    <t>Оплата теплоэнергии</t>
  </si>
  <si>
    <t>6.4</t>
  </si>
  <si>
    <t>Оплата за канализацию</t>
  </si>
  <si>
    <t>6.5</t>
  </si>
  <si>
    <t>Оплата водоснабжения помещений</t>
  </si>
  <si>
    <t>7</t>
  </si>
  <si>
    <t>8</t>
  </si>
  <si>
    <t xml:space="preserve">Приобретение оборудования </t>
  </si>
  <si>
    <t>9</t>
  </si>
  <si>
    <t>Приобретение канцтоваров</t>
  </si>
  <si>
    <t>10</t>
  </si>
  <si>
    <t>Хозинвентарь, инвентарь и моющие средства</t>
  </si>
  <si>
    <t>11</t>
  </si>
  <si>
    <t>Медикаменты, перевяз.ср-ва и прочие лечебные расходы</t>
  </si>
  <si>
    <t>12</t>
  </si>
  <si>
    <t xml:space="preserve">Подписка </t>
  </si>
  <si>
    <t xml:space="preserve">прочие поступления, возмещение </t>
  </si>
  <si>
    <t>13</t>
  </si>
  <si>
    <t>Остальные расходы (согласно  договоров) в том числе:</t>
  </si>
  <si>
    <t>13.1</t>
  </si>
  <si>
    <t>услуги охраны</t>
  </si>
  <si>
    <t>13.2</t>
  </si>
  <si>
    <t>13.3</t>
  </si>
  <si>
    <t>обслуживание здания</t>
  </si>
  <si>
    <t>13.4</t>
  </si>
  <si>
    <t>дератизация и дезинфекция</t>
  </si>
  <si>
    <t>13.5</t>
  </si>
  <si>
    <t>оплата услуг банка</t>
  </si>
  <si>
    <t>13.6</t>
  </si>
  <si>
    <t>оплата пож сигнализации</t>
  </si>
  <si>
    <t>13.7</t>
  </si>
  <si>
    <t>Обслуживание копмпьют программ</t>
  </si>
  <si>
    <t>13.8</t>
  </si>
  <si>
    <t>вывоз мусора</t>
  </si>
  <si>
    <t>14</t>
  </si>
  <si>
    <t>Прочие расходы в том числе:</t>
  </si>
  <si>
    <t>14.1</t>
  </si>
  <si>
    <t>Повышение квалификации</t>
  </si>
  <si>
    <t>14.2</t>
  </si>
  <si>
    <t>Приобретение огнетушителей</t>
  </si>
  <si>
    <t>14.3</t>
  </si>
  <si>
    <t>установка охранной сигнализации</t>
  </si>
  <si>
    <t>14.4</t>
  </si>
  <si>
    <t>установка мини АТС</t>
  </si>
  <si>
    <t>14.5</t>
  </si>
  <si>
    <t>Аккредитация, лицензирование</t>
  </si>
  <si>
    <t>14.6</t>
  </si>
  <si>
    <t>Командировочные (суточные)</t>
  </si>
  <si>
    <t>14.7</t>
  </si>
  <si>
    <t>услуги СЭС, метролог, осмотр столовой</t>
  </si>
  <si>
    <t>14.8</t>
  </si>
  <si>
    <t>медосмотр</t>
  </si>
  <si>
    <t>14.9</t>
  </si>
  <si>
    <t>обслуживание оргтехнники, заправка картриджей, комплектующие</t>
  </si>
  <si>
    <t>14.10</t>
  </si>
  <si>
    <t>Опрессовка,промывка, поверка весов</t>
  </si>
  <si>
    <t>14.11</t>
  </si>
  <si>
    <t>установка,модернизация пож сигнализации</t>
  </si>
  <si>
    <t>Экспертные услуги по образовательным программам</t>
  </si>
  <si>
    <t>14.12</t>
  </si>
  <si>
    <t>Налоги в бюджет,пени, штрафы</t>
  </si>
  <si>
    <t>Установка программного обеспечения</t>
  </si>
  <si>
    <t>14.14</t>
  </si>
  <si>
    <t>Обеспечение питьевой  водой</t>
  </si>
  <si>
    <t>14.15</t>
  </si>
  <si>
    <t xml:space="preserve">Утилизация ртутных ламп </t>
  </si>
  <si>
    <t>14.16</t>
  </si>
  <si>
    <t>Установка видеонаблюдения, школьного звонка</t>
  </si>
  <si>
    <t>14.17</t>
  </si>
  <si>
    <t>Приобретение учебников, наглядных пособий</t>
  </si>
  <si>
    <t>14.17.1</t>
  </si>
  <si>
    <r>
      <t xml:space="preserve">Приобретение учебн.,наглядных пособий </t>
    </r>
    <r>
      <rPr>
        <b/>
        <sz val="10"/>
        <rFont val="Times New Roman"/>
        <family val="1"/>
      </rPr>
      <t>(субвенция)</t>
    </r>
  </si>
  <si>
    <t>14.18</t>
  </si>
  <si>
    <t>Оформление технической документации</t>
  </si>
  <si>
    <t>14.19</t>
  </si>
  <si>
    <t>Обслуживание. Содержание школьной территории</t>
  </si>
  <si>
    <t>Текущий ремонт здания и оборуд</t>
  </si>
  <si>
    <t>Капитальный ремонт здания</t>
  </si>
  <si>
    <t>Организация летнего отдыха, организация праздника</t>
  </si>
  <si>
    <t>Питание  детей</t>
  </si>
  <si>
    <t>Денежные средства на конец периода</t>
  </si>
  <si>
    <t>Директор гимназии</t>
  </si>
  <si>
    <t>/М.А.Федоровская</t>
  </si>
  <si>
    <t>Бухгалтер</t>
  </si>
  <si>
    <t>/Е.В.Григорьева</t>
  </si>
  <si>
    <t>Целеые поступления(Церковь,Епархия)</t>
  </si>
  <si>
    <t>Субсидия из местного бюджета на оплату коммунальных услуг</t>
  </si>
  <si>
    <t>Платные услуги</t>
  </si>
  <si>
    <t>Благотворительная помощь</t>
  </si>
  <si>
    <t>1.А.</t>
  </si>
  <si>
    <t>в т. ч. за счет субвенции</t>
  </si>
  <si>
    <t>в т. ч. за счет целевых поступлений</t>
  </si>
  <si>
    <t>1.Б.</t>
  </si>
  <si>
    <t>в т. ч. за счет платных услуг</t>
  </si>
  <si>
    <t>1.Д.</t>
  </si>
  <si>
    <t>2.А.</t>
  </si>
  <si>
    <t>2.Б.</t>
  </si>
  <si>
    <t>2.Д.</t>
  </si>
  <si>
    <t>3.А.</t>
  </si>
  <si>
    <t>3.Б.</t>
  </si>
  <si>
    <t>4.А.</t>
  </si>
  <si>
    <t>4.Б.</t>
  </si>
  <si>
    <t>4.Д.</t>
  </si>
  <si>
    <t>5.А.</t>
  </si>
  <si>
    <t>5.Д.</t>
  </si>
  <si>
    <t>6.А.</t>
  </si>
  <si>
    <t>6.Г.</t>
  </si>
  <si>
    <t>в т. ч. за счет субсидии из бюджета</t>
  </si>
  <si>
    <t>8.А.</t>
  </si>
  <si>
    <t>8.В.</t>
  </si>
  <si>
    <t>в т. ч. за счет благотворительной помощи</t>
  </si>
  <si>
    <t>8.Д.</t>
  </si>
  <si>
    <t>10.А.</t>
  </si>
  <si>
    <t>10.В.</t>
  </si>
  <si>
    <t>10.Д.</t>
  </si>
  <si>
    <t>11.А.</t>
  </si>
  <si>
    <t>12.А.</t>
  </si>
  <si>
    <t>12.Д.</t>
  </si>
  <si>
    <t>13.А.</t>
  </si>
  <si>
    <t>13.Б.</t>
  </si>
  <si>
    <t>13.В.</t>
  </si>
  <si>
    <t>13.Д.</t>
  </si>
  <si>
    <t>14.А.</t>
  </si>
  <si>
    <t>14.Б.</t>
  </si>
  <si>
    <t>14.В.</t>
  </si>
  <si>
    <t>14.Д.</t>
  </si>
  <si>
    <t>15.А.</t>
  </si>
  <si>
    <t>15.В.</t>
  </si>
  <si>
    <t>16.А.</t>
  </si>
  <si>
    <t>16.В.</t>
  </si>
  <si>
    <t>17.А.</t>
  </si>
  <si>
    <t>17.В.</t>
  </si>
  <si>
    <t>Остаток на 01  января 2015 г</t>
  </si>
  <si>
    <t xml:space="preserve">          за ЯНВАРЬ месяц    2015    года</t>
  </si>
  <si>
    <t>А</t>
  </si>
  <si>
    <t>Б</t>
  </si>
  <si>
    <t>В</t>
  </si>
  <si>
    <t>Г</t>
  </si>
  <si>
    <t>Д</t>
  </si>
  <si>
    <t>Е</t>
  </si>
  <si>
    <t>Прочие услуги (возмещение)</t>
  </si>
  <si>
    <t>Ж</t>
  </si>
  <si>
    <t>6.Д.</t>
  </si>
  <si>
    <t>6.Е.</t>
  </si>
  <si>
    <t>Оплата  потребления газа</t>
  </si>
  <si>
    <t>Приобретение школьного и церковного инвентаря</t>
  </si>
  <si>
    <t>7.А.</t>
  </si>
  <si>
    <t>7.В.</t>
  </si>
  <si>
    <t>ТО электрооборуд.и электросетей</t>
  </si>
  <si>
    <t>14.13.1</t>
  </si>
  <si>
    <t>14.13.1.</t>
  </si>
  <si>
    <t>Остаток на 01февраля 2015г</t>
  </si>
  <si>
    <t xml:space="preserve">          за ФЕВРАЛЬ месяц   2015    года</t>
  </si>
  <si>
    <t>Остаток на 01  февраля 2015 г</t>
  </si>
  <si>
    <t>Остаток на 01марта 2015г</t>
  </si>
  <si>
    <t>Средства, получаемые из бюджета (субвенция)</t>
  </si>
  <si>
    <r>
      <t xml:space="preserve">Приобретение учебн.,наглядных пособий </t>
    </r>
    <r>
      <rPr>
        <b/>
        <sz val="11"/>
        <rFont val="Times New Roman"/>
        <family val="1"/>
      </rPr>
      <t>(субвенция)</t>
    </r>
  </si>
  <si>
    <t xml:space="preserve">          за  МАРТ месяц   2015    года</t>
  </si>
  <si>
    <t>Остаток на 01марта 2015 г</t>
  </si>
  <si>
    <t>прочие поступления, возмещения</t>
  </si>
  <si>
    <t>Остаток на 01апреля 2015г</t>
  </si>
  <si>
    <t>Приобретение учебн.,наглядных пособий (субвенция)</t>
  </si>
  <si>
    <t xml:space="preserve">          за  АПРЕЛЬ месяц   2015    года</t>
  </si>
  <si>
    <t>Остаток на 01апреля 2015 г</t>
  </si>
  <si>
    <t>Остаток на 01 мая 2015г</t>
  </si>
  <si>
    <t>Приобретение оборудования,оргтехники</t>
  </si>
  <si>
    <t>Приобр. канцтоваров</t>
  </si>
  <si>
    <t>Приобр. школьного и церковного инвентаря</t>
  </si>
  <si>
    <t xml:space="preserve">          за  МАЙ месяц   2015    года</t>
  </si>
  <si>
    <t>Остаток на 01 мая 2015 г</t>
  </si>
  <si>
    <t>Обслуживание, содержание  здания</t>
  </si>
  <si>
    <t>Остаток на 01 июня 2015г</t>
  </si>
  <si>
    <t xml:space="preserve">          за   ИЮНЬ  месяц   2015    года</t>
  </si>
  <si>
    <t>Остаток на 01 июня 2015 г</t>
  </si>
  <si>
    <t>Остаток на 01 июля 2015г</t>
  </si>
  <si>
    <t>Оплата потребления электроэнергии</t>
  </si>
  <si>
    <t xml:space="preserve">          за   ИЮЛЬ  месяц   2015    года</t>
  </si>
  <si>
    <t>Остаток на 01 июля 2015 г</t>
  </si>
  <si>
    <t>Остаток на 01августа 2015г</t>
  </si>
  <si>
    <t xml:space="preserve">          за   АВГУСТ  месяц   2015    года</t>
  </si>
  <si>
    <t>Остаток на 01 августа 2015 г</t>
  </si>
  <si>
    <t>Остаток на 01 сентября 2015г</t>
  </si>
  <si>
    <t xml:space="preserve">          за   СЕНТЯБРЬ  месяц   2015    года</t>
  </si>
  <si>
    <t>Остаток на 01сентябрь 2015 г</t>
  </si>
  <si>
    <t>Остаток на 01 октября 2015г</t>
  </si>
  <si>
    <t xml:space="preserve">          за   ОКТЯБРЬ  месяц   2015    года</t>
  </si>
  <si>
    <t xml:space="preserve">          за   НОЯБРЬ  месяц   2015    года</t>
  </si>
  <si>
    <t xml:space="preserve"> </t>
  </si>
  <si>
    <t>Остаток на 01 октябрь 2015 г</t>
  </si>
  <si>
    <t>Остаток на 01 ноября 2015г</t>
  </si>
  <si>
    <t>Остаток на 01декабря 2015г</t>
  </si>
  <si>
    <t>Остаток на 01ноября 2015 г</t>
  </si>
  <si>
    <t xml:space="preserve">          за   ДЕКАБРЬ  месяц   2015    года</t>
  </si>
  <si>
    <t>Остаток на 01декабря 2015 г</t>
  </si>
  <si>
    <t>Остаток на 01 января 2016г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</si>
</sst>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.6"/>
      <name val="Times New Roman"/>
      <family val="1"/>
    </font>
    <font>
      <sz val="9.5"/>
      <name val="Times New Roman"/>
      <family val="1"/>
    </font>
    <font>
      <sz val="10.5"/>
      <name val="Times New Roman"/>
      <family val="1"/>
    </font>
    <font>
      <b/>
      <sz val="12"/>
      <name val="Lucida Sans Unicode"/>
      <family val="2"/>
    </font>
    <font>
      <sz val="12"/>
      <name val="Lucida Sans Unicode"/>
      <family val="2"/>
    </font>
    <font>
      <sz val="9"/>
      <name val="Times New Roman"/>
      <family val="1"/>
    </font>
    <font>
      <sz val="11"/>
      <color indexed="8"/>
      <name val="Times New Roman"/>
      <family val="1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0">
    <xf numFmtId="0" fontId="0" fillId="0" borderId="0" xfId="0" applyFont="1" applyAlignment="1">
      <alignment/>
    </xf>
    <xf numFmtId="0" fontId="2" fillId="0" borderId="0" xfId="52">
      <alignment/>
      <protection/>
    </xf>
    <xf numFmtId="49" fontId="5" fillId="0" borderId="10" xfId="52" applyNumberFormat="1" applyFont="1" applyBorder="1" applyAlignment="1">
      <alignment vertical="center" wrapText="1"/>
      <protection/>
    </xf>
    <xf numFmtId="2" fontId="5" fillId="33" borderId="10" xfId="55" applyNumberFormat="1" applyFont="1" applyFill="1" applyBorder="1" applyAlignment="1">
      <alignment vertical="center" wrapText="1"/>
      <protection/>
    </xf>
    <xf numFmtId="49" fontId="5" fillId="0" borderId="11" xfId="52" applyNumberFormat="1" applyFont="1" applyBorder="1" applyAlignment="1">
      <alignment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0" xfId="52" applyFont="1" applyFill="1" applyAlignment="1">
      <alignment horizontal="center" vertical="center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2" fontId="4" fillId="33" borderId="10" xfId="52" applyNumberFormat="1" applyFont="1" applyFill="1" applyBorder="1" applyAlignment="1">
      <alignment vertical="center" wrapText="1"/>
      <protection/>
    </xf>
    <xf numFmtId="2" fontId="5" fillId="33" borderId="10" xfId="53" applyNumberFormat="1" applyFont="1" applyFill="1" applyBorder="1" applyAlignment="1">
      <alignment horizontal="right" vertical="center" wrapText="1"/>
      <protection/>
    </xf>
    <xf numFmtId="2" fontId="5" fillId="33" borderId="10" xfId="52" applyNumberFormat="1" applyFont="1" applyFill="1" applyBorder="1" applyAlignment="1">
      <alignment vertical="center" wrapText="1"/>
      <protection/>
    </xf>
    <xf numFmtId="2" fontId="5" fillId="33" borderId="10" xfId="53" applyNumberFormat="1" applyFont="1" applyFill="1" applyBorder="1" applyAlignment="1">
      <alignment vertical="center" wrapText="1"/>
      <protection/>
    </xf>
    <xf numFmtId="4" fontId="5" fillId="33" borderId="10" xfId="52" applyNumberFormat="1" applyFont="1" applyFill="1" applyBorder="1" applyAlignment="1">
      <alignment vertical="center" wrapText="1"/>
      <protection/>
    </xf>
    <xf numFmtId="4" fontId="5" fillId="33" borderId="13" xfId="52" applyNumberFormat="1" applyFont="1" applyFill="1" applyBorder="1" applyAlignment="1">
      <alignment vertical="center" wrapText="1"/>
      <protection/>
    </xf>
    <xf numFmtId="2" fontId="5" fillId="0" borderId="0" xfId="52" applyNumberFormat="1" applyFont="1">
      <alignment/>
      <protection/>
    </xf>
    <xf numFmtId="164" fontId="4" fillId="33" borderId="14" xfId="53" applyNumberFormat="1" applyFont="1" applyFill="1" applyBorder="1" applyAlignment="1">
      <alignment vertical="center"/>
      <protection/>
    </xf>
    <xf numFmtId="2" fontId="4" fillId="33" borderId="10" xfId="52" applyNumberFormat="1" applyFont="1" applyFill="1" applyBorder="1" applyAlignment="1">
      <alignment horizontal="right" vertical="center" wrapText="1"/>
      <protection/>
    </xf>
    <xf numFmtId="2" fontId="4" fillId="0" borderId="10" xfId="52" applyNumberFormat="1" applyFont="1" applyBorder="1" applyAlignment="1">
      <alignment horizontal="right" vertical="center" wrapText="1"/>
      <protection/>
    </xf>
    <xf numFmtId="49" fontId="4" fillId="0" borderId="10" xfId="53" applyNumberFormat="1" applyFont="1" applyBorder="1" applyAlignment="1">
      <alignment horizontal="right"/>
      <protection/>
    </xf>
    <xf numFmtId="2" fontId="4" fillId="33" borderId="10" xfId="53" applyNumberFormat="1" applyFont="1" applyFill="1" applyBorder="1" applyAlignment="1">
      <alignment vertical="center" wrapText="1"/>
      <protection/>
    </xf>
    <xf numFmtId="2" fontId="4" fillId="33" borderId="15" xfId="52" applyNumberFormat="1" applyFont="1" applyFill="1" applyBorder="1" applyAlignment="1">
      <alignment horizontal="right" vertical="center" wrapText="1"/>
      <protection/>
    </xf>
    <xf numFmtId="2" fontId="4" fillId="0" borderId="10" xfId="52" applyNumberFormat="1" applyFont="1" applyBorder="1" applyAlignment="1">
      <alignment horizontal="right" vertical="center"/>
      <protection/>
    </xf>
    <xf numFmtId="2" fontId="4" fillId="34" borderId="14" xfId="53" applyNumberFormat="1" applyFont="1" applyFill="1" applyBorder="1" applyAlignment="1">
      <alignment vertical="center" wrapText="1"/>
      <protection/>
    </xf>
    <xf numFmtId="2" fontId="4" fillId="34" borderId="10" xfId="53" applyNumberFormat="1" applyFont="1" applyFill="1" applyBorder="1" applyAlignment="1">
      <alignment vertical="center" wrapText="1"/>
      <protection/>
    </xf>
    <xf numFmtId="2" fontId="4" fillId="0" borderId="10" xfId="52" applyNumberFormat="1" applyFont="1" applyBorder="1">
      <alignment/>
      <protection/>
    </xf>
    <xf numFmtId="49" fontId="5" fillId="0" borderId="10" xfId="53" applyNumberFormat="1" applyFont="1" applyBorder="1" applyAlignment="1">
      <alignment horizontal="right"/>
      <protection/>
    </xf>
    <xf numFmtId="49" fontId="4" fillId="0" borderId="10" xfId="52" applyNumberFormat="1" applyFont="1" applyBorder="1" applyAlignment="1">
      <alignment horizontal="right" vertical="center" wrapText="1"/>
      <protection/>
    </xf>
    <xf numFmtId="2" fontId="5" fillId="34" borderId="14" xfId="53" applyNumberFormat="1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>
      <alignment horizontal="right" vertical="center" wrapText="1"/>
      <protection/>
    </xf>
    <xf numFmtId="2" fontId="5" fillId="33" borderId="10" xfId="52" applyNumberFormat="1" applyFont="1" applyFill="1" applyBorder="1" applyAlignment="1">
      <alignment horizontal="right" vertical="center" wrapText="1"/>
      <protection/>
    </xf>
    <xf numFmtId="49" fontId="5" fillId="0" borderId="16" xfId="53" applyNumberFormat="1" applyFont="1" applyBorder="1" applyAlignment="1">
      <alignment horizontal="right"/>
      <protection/>
    </xf>
    <xf numFmtId="49" fontId="4" fillId="0" borderId="17" xfId="53" applyNumberFormat="1" applyFont="1" applyBorder="1" applyAlignment="1">
      <alignment horizontal="right"/>
      <protection/>
    </xf>
    <xf numFmtId="49" fontId="4" fillId="0" borderId="18" xfId="53" applyNumberFormat="1" applyFont="1" applyBorder="1" applyAlignment="1">
      <alignment horizontal="right"/>
      <protection/>
    </xf>
    <xf numFmtId="49" fontId="4" fillId="0" borderId="11" xfId="53" applyNumberFormat="1" applyFont="1" applyBorder="1" applyAlignment="1">
      <alignment horizontal="right"/>
      <protection/>
    </xf>
    <xf numFmtId="0" fontId="5" fillId="0" borderId="19" xfId="52" applyFont="1" applyBorder="1" applyAlignment="1">
      <alignment vertical="center" wrapText="1"/>
      <protection/>
    </xf>
    <xf numFmtId="49" fontId="5" fillId="0" borderId="10" xfId="52" applyNumberFormat="1" applyFont="1" applyBorder="1" applyAlignment="1">
      <alignment horizontal="right" vertical="center" wrapText="1"/>
      <protection/>
    </xf>
    <xf numFmtId="0" fontId="4" fillId="0" borderId="20" xfId="52" applyFont="1" applyBorder="1">
      <alignment/>
      <protection/>
    </xf>
    <xf numFmtId="0" fontId="4" fillId="0" borderId="21" xfId="52" applyFont="1" applyBorder="1">
      <alignment/>
      <protection/>
    </xf>
    <xf numFmtId="0" fontId="5" fillId="0" borderId="21" xfId="52" applyFont="1" applyBorder="1">
      <alignment/>
      <protection/>
    </xf>
    <xf numFmtId="0" fontId="5" fillId="0" borderId="20" xfId="52" applyFont="1" applyBorder="1">
      <alignment/>
      <protection/>
    </xf>
    <xf numFmtId="0" fontId="4" fillId="0" borderId="10" xfId="55" applyFont="1" applyBorder="1" applyAlignment="1">
      <alignment vertical="center" wrapText="1"/>
      <protection/>
    </xf>
    <xf numFmtId="0" fontId="4" fillId="0" borderId="16" xfId="55" applyFont="1" applyBorder="1" applyAlignment="1">
      <alignment vertical="center" wrapText="1"/>
      <protection/>
    </xf>
    <xf numFmtId="0" fontId="4" fillId="0" borderId="22" xfId="55" applyFont="1" applyBorder="1" applyAlignment="1">
      <alignment vertical="center" wrapText="1"/>
      <protection/>
    </xf>
    <xf numFmtId="2" fontId="5" fillId="33" borderId="23" xfId="55" applyNumberFormat="1" applyFont="1" applyFill="1" applyBorder="1" applyAlignment="1">
      <alignment vertical="center" wrapText="1"/>
      <protection/>
    </xf>
    <xf numFmtId="0" fontId="5" fillId="0" borderId="10" xfId="52" applyFont="1" applyBorder="1">
      <alignment/>
      <protection/>
    </xf>
    <xf numFmtId="0" fontId="5" fillId="0" borderId="24" xfId="52" applyFont="1" applyBorder="1">
      <alignment/>
      <protection/>
    </xf>
    <xf numFmtId="2" fontId="5" fillId="33" borderId="12" xfId="55" applyNumberFormat="1" applyFont="1" applyFill="1" applyBorder="1" applyAlignment="1">
      <alignment vertical="center" wrapText="1"/>
      <protection/>
    </xf>
    <xf numFmtId="0" fontId="4" fillId="0" borderId="0" xfId="55" applyFont="1" applyBorder="1" applyAlignment="1">
      <alignment vertical="center" wrapText="1"/>
      <protection/>
    </xf>
    <xf numFmtId="0" fontId="5" fillId="33" borderId="0" xfId="55" applyFont="1" applyFill="1" applyBorder="1" applyAlignment="1">
      <alignment vertical="center" wrapText="1"/>
      <protection/>
    </xf>
    <xf numFmtId="0" fontId="5" fillId="33" borderId="25" xfId="55" applyFont="1" applyFill="1" applyBorder="1" applyAlignment="1">
      <alignment vertical="center" wrapText="1"/>
      <protection/>
    </xf>
    <xf numFmtId="2" fontId="5" fillId="33" borderId="25" xfId="55" applyNumberFormat="1" applyFont="1" applyFill="1" applyBorder="1" applyAlignment="1">
      <alignment vertical="center" wrapText="1"/>
      <protection/>
    </xf>
    <xf numFmtId="2" fontId="5" fillId="0" borderId="0" xfId="52" applyNumberFormat="1" applyFont="1" applyAlignment="1">
      <alignment vertical="center" wrapText="1"/>
      <protection/>
    </xf>
    <xf numFmtId="49" fontId="4" fillId="0" borderId="10" xfId="53" applyNumberFormat="1" applyFont="1" applyBorder="1" applyAlignment="1">
      <alignment horizontal="center" vertical="center"/>
      <protection/>
    </xf>
    <xf numFmtId="2" fontId="4" fillId="0" borderId="0" xfId="52" applyNumberFormat="1" applyFont="1">
      <alignment/>
      <protection/>
    </xf>
    <xf numFmtId="0" fontId="4" fillId="0" borderId="0" xfId="52" applyFont="1">
      <alignment/>
      <protection/>
    </xf>
    <xf numFmtId="0" fontId="7" fillId="0" borderId="14" xfId="52" applyFont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center" wrapText="1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5" fillId="0" borderId="0" xfId="52" applyFont="1" applyAlignment="1">
      <alignment vertical="center" wrapText="1"/>
      <protection/>
    </xf>
    <xf numFmtId="2" fontId="5" fillId="33" borderId="15" xfId="55" applyNumberFormat="1" applyFont="1" applyFill="1" applyBorder="1" applyAlignment="1">
      <alignment vertical="center" wrapText="1"/>
      <protection/>
    </xf>
    <xf numFmtId="2" fontId="5" fillId="33" borderId="14" xfId="55" applyNumberFormat="1" applyFont="1" applyFill="1" applyBorder="1" applyAlignment="1">
      <alignment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4" fillId="0" borderId="16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49" fontId="4" fillId="0" borderId="16" xfId="52" applyNumberFormat="1" applyFont="1" applyBorder="1" applyAlignment="1">
      <alignment vertical="center" wrapText="1"/>
      <protection/>
    </xf>
    <xf numFmtId="49" fontId="5" fillId="0" borderId="12" xfId="52" applyNumberFormat="1" applyFont="1" applyBorder="1" applyAlignment="1">
      <alignment vertical="center" wrapText="1"/>
      <protection/>
    </xf>
    <xf numFmtId="49" fontId="5" fillId="0" borderId="20" xfId="52" applyNumberFormat="1" applyFont="1" applyBorder="1" applyAlignment="1">
      <alignment horizontal="right" vertical="center" wrapText="1"/>
      <protection/>
    </xf>
    <xf numFmtId="164" fontId="4" fillId="33" borderId="15" xfId="53" applyNumberFormat="1" applyFont="1" applyFill="1" applyBorder="1" applyAlignment="1">
      <alignment vertical="center" wrapText="1"/>
      <protection/>
    </xf>
    <xf numFmtId="2" fontId="5" fillId="33" borderId="26" xfId="55" applyNumberFormat="1" applyFont="1" applyFill="1" applyBorder="1" applyAlignment="1">
      <alignment vertical="center" wrapText="1"/>
      <protection/>
    </xf>
    <xf numFmtId="4" fontId="4" fillId="33" borderId="10" xfId="52" applyNumberFormat="1" applyFont="1" applyFill="1" applyBorder="1" applyAlignment="1">
      <alignment horizontal="right" vertical="center" wrapText="1"/>
      <protection/>
    </xf>
    <xf numFmtId="4" fontId="4" fillId="0" borderId="10" xfId="55" applyNumberFormat="1" applyFont="1" applyBorder="1" applyAlignment="1">
      <alignment horizontal="center" vertical="center" wrapText="1"/>
      <protection/>
    </xf>
    <xf numFmtId="4" fontId="5" fillId="33" borderId="10" xfId="55" applyNumberFormat="1" applyFont="1" applyFill="1" applyBorder="1" applyAlignment="1">
      <alignment vertical="center" wrapText="1"/>
      <protection/>
    </xf>
    <xf numFmtId="4" fontId="4" fillId="33" borderId="10" xfId="52" applyNumberFormat="1" applyFont="1" applyFill="1" applyBorder="1" applyAlignment="1">
      <alignment horizontal="center" vertical="center" wrapText="1"/>
      <protection/>
    </xf>
    <xf numFmtId="4" fontId="5" fillId="33" borderId="14" xfId="52" applyNumberFormat="1" applyFont="1" applyFill="1" applyBorder="1" applyAlignment="1">
      <alignment vertical="center" wrapText="1"/>
      <protection/>
    </xf>
    <xf numFmtId="4" fontId="4" fillId="33" borderId="10" xfId="53" applyNumberFormat="1" applyFont="1" applyFill="1" applyBorder="1" applyAlignment="1">
      <alignment vertical="center" wrapText="1"/>
      <protection/>
    </xf>
    <xf numFmtId="4" fontId="5" fillId="33" borderId="10" xfId="53" applyNumberFormat="1" applyFont="1" applyFill="1" applyBorder="1" applyAlignment="1">
      <alignment vertical="center" wrapText="1"/>
      <protection/>
    </xf>
    <xf numFmtId="4" fontId="4" fillId="33" borderId="15" xfId="53" applyNumberFormat="1" applyFont="1" applyFill="1" applyBorder="1" applyAlignment="1">
      <alignment vertical="center" wrapText="1"/>
      <protection/>
    </xf>
    <xf numFmtId="4" fontId="5" fillId="33" borderId="15" xfId="53" applyNumberFormat="1" applyFont="1" applyFill="1" applyBorder="1" applyAlignment="1">
      <alignment vertical="center" wrapText="1"/>
      <protection/>
    </xf>
    <xf numFmtId="4" fontId="7" fillId="0" borderId="10" xfId="55" applyNumberFormat="1" applyFont="1" applyBorder="1" applyAlignment="1">
      <alignment horizontal="center" vertical="center" wrapText="1"/>
      <protection/>
    </xf>
    <xf numFmtId="4" fontId="5" fillId="33" borderId="14" xfId="55" applyNumberFormat="1" applyFont="1" applyFill="1" applyBorder="1" applyAlignment="1">
      <alignment vertical="center" wrapText="1"/>
      <protection/>
    </xf>
    <xf numFmtId="4" fontId="5" fillId="33" borderId="0" xfId="55" applyNumberFormat="1" applyFont="1" applyFill="1" applyBorder="1" applyAlignment="1">
      <alignment vertical="center" wrapText="1"/>
      <protection/>
    </xf>
    <xf numFmtId="4" fontId="5" fillId="0" borderId="0" xfId="52" applyNumberFormat="1" applyFont="1" applyAlignment="1">
      <alignment vertical="center" wrapText="1"/>
      <protection/>
    </xf>
    <xf numFmtId="3" fontId="4" fillId="0" borderId="12" xfId="55" applyNumberFormat="1" applyFont="1" applyBorder="1" applyAlignment="1">
      <alignment horizontal="center" vertical="center" wrapText="1"/>
      <protection/>
    </xf>
    <xf numFmtId="3" fontId="4" fillId="0" borderId="23" xfId="52" applyNumberFormat="1" applyFont="1" applyBorder="1" applyAlignment="1">
      <alignment horizontal="center" vertical="center" wrapText="1"/>
      <protection/>
    </xf>
    <xf numFmtId="164" fontId="4" fillId="33" borderId="10" xfId="53" applyNumberFormat="1" applyFont="1" applyFill="1" applyBorder="1" applyAlignment="1">
      <alignment horizontal="center" vertical="center" wrapText="1"/>
      <protection/>
    </xf>
    <xf numFmtId="2" fontId="5" fillId="33" borderId="14" xfId="55" applyNumberFormat="1" applyFont="1" applyFill="1" applyBorder="1" applyAlignment="1">
      <alignment vertical="center" wrapText="1"/>
      <protection/>
    </xf>
    <xf numFmtId="2" fontId="5" fillId="33" borderId="16" xfId="53" applyNumberFormat="1" applyFont="1" applyFill="1" applyBorder="1" applyAlignment="1">
      <alignment vertical="center" wrapText="1"/>
      <protection/>
    </xf>
    <xf numFmtId="0" fontId="5" fillId="0" borderId="14" xfId="54" applyFont="1" applyBorder="1" applyAlignment="1">
      <alignment wrapText="1"/>
      <protection/>
    </xf>
    <xf numFmtId="0" fontId="5" fillId="34" borderId="14" xfId="53" applyFont="1" applyFill="1" applyBorder="1" applyAlignment="1">
      <alignment wrapText="1"/>
      <protection/>
    </xf>
    <xf numFmtId="0" fontId="5" fillId="34" borderId="15" xfId="53" applyFont="1" applyFill="1" applyBorder="1" applyAlignment="1">
      <alignment/>
      <protection/>
    </xf>
    <xf numFmtId="0" fontId="5" fillId="0" borderId="27" xfId="54" applyFont="1" applyBorder="1" applyAlignment="1">
      <alignment/>
      <protection/>
    </xf>
    <xf numFmtId="0" fontId="5" fillId="0" borderId="14" xfId="54" applyFont="1" applyBorder="1" applyAlignment="1">
      <alignment/>
      <protection/>
    </xf>
    <xf numFmtId="2" fontId="4" fillId="33" borderId="25" xfId="53" applyNumberFormat="1" applyFont="1" applyFill="1" applyBorder="1" applyAlignment="1">
      <alignment vertical="center" wrapText="1"/>
      <protection/>
    </xf>
    <xf numFmtId="0" fontId="4" fillId="0" borderId="28" xfId="52" applyNumberFormat="1" applyFont="1" applyBorder="1" applyAlignment="1">
      <alignment horizontal="right" vertical="center" wrapText="1"/>
      <protection/>
    </xf>
    <xf numFmtId="0" fontId="4" fillId="0" borderId="29" xfId="52" applyNumberFormat="1" applyFont="1" applyBorder="1" applyAlignment="1">
      <alignment horizontal="right" vertical="center" wrapText="1"/>
      <protection/>
    </xf>
    <xf numFmtId="0" fontId="4" fillId="0" borderId="30" xfId="52" applyNumberFormat="1" applyFont="1" applyBorder="1" applyAlignment="1">
      <alignment horizontal="right" vertical="center" wrapText="1"/>
      <protection/>
    </xf>
    <xf numFmtId="0" fontId="4" fillId="0" borderId="10" xfId="52" applyNumberFormat="1" applyFont="1" applyBorder="1" applyAlignment="1">
      <alignment horizontal="right" vertical="center" wrapText="1"/>
      <protection/>
    </xf>
    <xf numFmtId="4" fontId="5" fillId="33" borderId="16" xfId="53" applyNumberFormat="1" applyFont="1" applyFill="1" applyBorder="1" applyAlignment="1">
      <alignment vertical="center" wrapText="1"/>
      <protection/>
    </xf>
    <xf numFmtId="4" fontId="4" fillId="0" borderId="10" xfId="53" applyNumberFormat="1" applyFont="1" applyFill="1" applyBorder="1" applyAlignment="1">
      <alignment vertical="center" wrapText="1"/>
      <protection/>
    </xf>
    <xf numFmtId="4" fontId="4" fillId="0" borderId="12" xfId="53" applyNumberFormat="1" applyFont="1" applyFill="1" applyBorder="1" applyAlignment="1">
      <alignment vertical="center" wrapText="1"/>
      <protection/>
    </xf>
    <xf numFmtId="4" fontId="13" fillId="0" borderId="14" xfId="53" applyNumberFormat="1" applyFont="1" applyFill="1" applyBorder="1" applyAlignment="1">
      <alignment vertical="center" wrapText="1"/>
      <protection/>
    </xf>
    <xf numFmtId="4" fontId="5" fillId="33" borderId="10" xfId="53" applyNumberFormat="1" applyFont="1" applyFill="1" applyBorder="1" applyAlignment="1">
      <alignment horizontal="right" vertical="center" wrapText="1"/>
      <protection/>
    </xf>
    <xf numFmtId="4" fontId="4" fillId="33" borderId="0" xfId="52" applyNumberFormat="1" applyFont="1" applyFill="1" applyAlignment="1">
      <alignment vertical="center" wrapText="1"/>
      <protection/>
    </xf>
    <xf numFmtId="4" fontId="4" fillId="33" borderId="10" xfId="52" applyNumberFormat="1" applyFont="1" applyFill="1" applyBorder="1" applyAlignment="1">
      <alignment vertical="center" wrapText="1"/>
      <protection/>
    </xf>
    <xf numFmtId="4" fontId="4" fillId="33" borderId="14" xfId="53" applyNumberFormat="1" applyFont="1" applyFill="1" applyBorder="1" applyAlignment="1">
      <alignment vertical="center" wrapText="1"/>
      <protection/>
    </xf>
    <xf numFmtId="4" fontId="5" fillId="0" borderId="14" xfId="54" applyNumberFormat="1" applyFont="1" applyBorder="1" applyAlignment="1">
      <alignment wrapText="1"/>
      <protection/>
    </xf>
    <xf numFmtId="4" fontId="5" fillId="0" borderId="14" xfId="54" applyNumberFormat="1" applyFont="1" applyBorder="1" applyAlignment="1">
      <alignment/>
      <protection/>
    </xf>
    <xf numFmtId="4" fontId="4" fillId="33" borderId="10" xfId="53" applyNumberFormat="1" applyFont="1" applyFill="1" applyBorder="1" applyAlignment="1">
      <alignment horizontal="right" vertical="center" wrapText="1"/>
      <protection/>
    </xf>
    <xf numFmtId="49" fontId="12" fillId="0" borderId="16" xfId="52" applyNumberFormat="1" applyFont="1" applyBorder="1" applyAlignment="1">
      <alignment horizontal="right" vertical="center" wrapText="1"/>
      <protection/>
    </xf>
    <xf numFmtId="49" fontId="12" fillId="0" borderId="24" xfId="52" applyNumberFormat="1" applyFont="1" applyBorder="1" applyAlignment="1">
      <alignment horizontal="right" vertical="center" wrapText="1"/>
      <protection/>
    </xf>
    <xf numFmtId="2" fontId="4" fillId="33" borderId="16" xfId="53" applyNumberFormat="1" applyFont="1" applyFill="1" applyBorder="1" applyAlignment="1">
      <alignment vertical="center" wrapText="1"/>
      <protection/>
    </xf>
    <xf numFmtId="2" fontId="4" fillId="33" borderId="16" xfId="53" applyNumberFormat="1" applyFont="1" applyFill="1" applyBorder="1" applyAlignment="1">
      <alignment horizontal="right" vertical="center" wrapText="1"/>
      <protection/>
    </xf>
    <xf numFmtId="2" fontId="5" fillId="33" borderId="15" xfId="0" applyNumberFormat="1" applyFont="1" applyFill="1" applyBorder="1" applyAlignment="1">
      <alignment horizontal="right" vertical="center" wrapText="1"/>
    </xf>
    <xf numFmtId="2" fontId="4" fillId="33" borderId="15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5" fillId="34" borderId="10" xfId="53" applyNumberFormat="1" applyFont="1" applyFill="1" applyBorder="1" applyAlignment="1">
      <alignment vertical="center" wrapText="1"/>
      <protection/>
    </xf>
    <xf numFmtId="2" fontId="5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5" fillId="0" borderId="10" xfId="54" applyFont="1" applyBorder="1" applyAlignment="1">
      <alignment wrapText="1"/>
      <protection/>
    </xf>
    <xf numFmtId="4" fontId="5" fillId="0" borderId="10" xfId="54" applyNumberFormat="1" applyFont="1" applyBorder="1" applyAlignment="1">
      <alignment wrapText="1"/>
      <protection/>
    </xf>
    <xf numFmtId="49" fontId="4" fillId="0" borderId="10" xfId="53" applyNumberFormat="1" applyFont="1" applyBorder="1" applyAlignment="1">
      <alignment horizontal="right" vertical="center"/>
      <protection/>
    </xf>
    <xf numFmtId="4" fontId="4" fillId="33" borderId="14" xfId="52" applyNumberFormat="1" applyFont="1" applyFill="1" applyBorder="1" applyAlignment="1">
      <alignment vertical="center" wrapText="1"/>
      <protection/>
    </xf>
    <xf numFmtId="4" fontId="5" fillId="33" borderId="14" xfId="52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2" fontId="5" fillId="33" borderId="15" xfId="55" applyNumberFormat="1" applyFont="1" applyFill="1" applyBorder="1" applyAlignment="1">
      <alignment vertical="center" wrapText="1"/>
      <protection/>
    </xf>
    <xf numFmtId="2" fontId="5" fillId="33" borderId="14" xfId="55" applyNumberFormat="1" applyFont="1" applyFill="1" applyBorder="1" applyAlignment="1">
      <alignment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4" fillId="0" borderId="16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49" fontId="4" fillId="0" borderId="16" xfId="52" applyNumberFormat="1" applyFont="1" applyBorder="1" applyAlignment="1">
      <alignment vertical="center" wrapText="1"/>
      <protection/>
    </xf>
    <xf numFmtId="4" fontId="4" fillId="33" borderId="14" xfId="52" applyNumberFormat="1" applyFont="1" applyFill="1" applyBorder="1" applyAlignment="1">
      <alignment vertical="center" wrapText="1"/>
      <protection/>
    </xf>
    <xf numFmtId="4" fontId="5" fillId="33" borderId="14" xfId="52" applyNumberFormat="1" applyFont="1" applyFill="1" applyBorder="1" applyAlignment="1">
      <alignment vertical="center" wrapText="1"/>
      <protection/>
    </xf>
    <xf numFmtId="164" fontId="4" fillId="33" borderId="15" xfId="53" applyNumberFormat="1" applyFont="1" applyFill="1" applyBorder="1" applyAlignment="1">
      <alignment vertical="center" wrapText="1"/>
      <protection/>
    </xf>
    <xf numFmtId="49" fontId="5" fillId="0" borderId="12" xfId="52" applyNumberFormat="1" applyFont="1" applyBorder="1" applyAlignment="1">
      <alignment vertical="center" wrapText="1"/>
      <protection/>
    </xf>
    <xf numFmtId="0" fontId="5" fillId="0" borderId="0" xfId="52" applyFont="1" applyAlignment="1">
      <alignment vertical="center" wrapText="1"/>
      <protection/>
    </xf>
    <xf numFmtId="2" fontId="4" fillId="33" borderId="27" xfId="53" applyNumberFormat="1" applyFont="1" applyFill="1" applyBorder="1" applyAlignment="1">
      <alignment vertical="center" wrapText="1"/>
      <protection/>
    </xf>
    <xf numFmtId="2" fontId="5" fillId="33" borderId="15" xfId="55" applyNumberFormat="1" applyFont="1" applyFill="1" applyBorder="1" applyAlignment="1">
      <alignment vertical="center" wrapText="1"/>
      <protection/>
    </xf>
    <xf numFmtId="2" fontId="5" fillId="33" borderId="14" xfId="55" applyNumberFormat="1" applyFont="1" applyFill="1" applyBorder="1" applyAlignment="1">
      <alignment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4" fillId="0" borderId="16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49" fontId="4" fillId="0" borderId="16" xfId="52" applyNumberFormat="1" applyFont="1" applyBorder="1" applyAlignment="1">
      <alignment vertical="center" wrapText="1"/>
      <protection/>
    </xf>
    <xf numFmtId="4" fontId="4" fillId="33" borderId="14" xfId="52" applyNumberFormat="1" applyFont="1" applyFill="1" applyBorder="1" applyAlignment="1">
      <alignment vertical="center" wrapText="1"/>
      <protection/>
    </xf>
    <xf numFmtId="4" fontId="5" fillId="33" borderId="14" xfId="52" applyNumberFormat="1" applyFont="1" applyFill="1" applyBorder="1" applyAlignment="1">
      <alignment vertical="center" wrapText="1"/>
      <protection/>
    </xf>
    <xf numFmtId="164" fontId="4" fillId="33" borderId="15" xfId="53" applyNumberFormat="1" applyFont="1" applyFill="1" applyBorder="1" applyAlignment="1">
      <alignment vertical="center" wrapText="1"/>
      <protection/>
    </xf>
    <xf numFmtId="49" fontId="5" fillId="0" borderId="12" xfId="52" applyNumberFormat="1" applyFont="1" applyBorder="1" applyAlignment="1">
      <alignment vertical="center" wrapText="1"/>
      <protection/>
    </xf>
    <xf numFmtId="0" fontId="5" fillId="0" borderId="0" xfId="52" applyFont="1" applyAlignment="1">
      <alignment vertical="center" wrapText="1"/>
      <protection/>
    </xf>
    <xf numFmtId="2" fontId="2" fillId="0" borderId="0" xfId="52" applyNumberFormat="1">
      <alignment/>
      <protection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64" fontId="5" fillId="33" borderId="15" xfId="53" applyNumberFormat="1" applyFont="1" applyFill="1" applyBorder="1" applyAlignment="1">
      <alignment vertical="center" wrapText="1"/>
      <protection/>
    </xf>
    <xf numFmtId="2" fontId="5" fillId="33" borderId="15" xfId="55" applyNumberFormat="1" applyFont="1" applyFill="1" applyBorder="1" applyAlignment="1">
      <alignment vertical="center" wrapText="1"/>
      <protection/>
    </xf>
    <xf numFmtId="2" fontId="5" fillId="33" borderId="14" xfId="55" applyNumberFormat="1" applyFont="1" applyFill="1" applyBorder="1" applyAlignment="1">
      <alignment vertical="center" wrapText="1"/>
      <protection/>
    </xf>
    <xf numFmtId="4" fontId="4" fillId="33" borderId="14" xfId="52" applyNumberFormat="1" applyFont="1" applyFill="1" applyBorder="1" applyAlignment="1">
      <alignment vertical="center" wrapText="1"/>
      <protection/>
    </xf>
    <xf numFmtId="4" fontId="5" fillId="33" borderId="14" xfId="52" applyNumberFormat="1" applyFont="1" applyFill="1" applyBorder="1" applyAlignment="1">
      <alignment vertical="center" wrapText="1"/>
      <protection/>
    </xf>
    <xf numFmtId="49" fontId="5" fillId="0" borderId="16" xfId="52" applyNumberFormat="1" applyFont="1" applyBorder="1" applyAlignment="1">
      <alignment vertical="center" wrapText="1"/>
      <protection/>
    </xf>
    <xf numFmtId="49" fontId="5" fillId="0" borderId="12" xfId="52" applyNumberFormat="1" applyFont="1" applyBorder="1" applyAlignment="1">
      <alignment vertical="center" wrapText="1"/>
      <protection/>
    </xf>
    <xf numFmtId="0" fontId="5" fillId="0" borderId="0" xfId="52" applyFont="1" applyAlignment="1">
      <alignment vertical="center" wrapText="1"/>
      <protection/>
    </xf>
    <xf numFmtId="0" fontId="2" fillId="0" borderId="0" xfId="52" applyFont="1">
      <alignment/>
      <protection/>
    </xf>
    <xf numFmtId="0" fontId="0" fillId="0" borderId="0" xfId="0" applyFont="1" applyAlignment="1">
      <alignment/>
    </xf>
    <xf numFmtId="0" fontId="5" fillId="0" borderId="10" xfId="55" applyFont="1" applyBorder="1" applyAlignment="1">
      <alignment horizontal="center" vertical="center" wrapText="1"/>
      <protection/>
    </xf>
    <xf numFmtId="4" fontId="5" fillId="0" borderId="10" xfId="55" applyNumberFormat="1" applyFont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 vertical="center" wrapText="1"/>
      <protection/>
    </xf>
    <xf numFmtId="164" fontId="5" fillId="33" borderId="10" xfId="53" applyNumberFormat="1" applyFont="1" applyFill="1" applyBorder="1" applyAlignment="1">
      <alignment horizontal="center" vertical="center" wrapText="1"/>
      <protection/>
    </xf>
    <xf numFmtId="164" fontId="5" fillId="33" borderId="14" xfId="53" applyNumberFormat="1" applyFont="1" applyFill="1" applyBorder="1" applyAlignment="1">
      <alignment vertical="center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3" fontId="5" fillId="0" borderId="23" xfId="52" applyNumberFormat="1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28" xfId="52" applyNumberFormat="1" applyFont="1" applyBorder="1" applyAlignment="1">
      <alignment horizontal="right" vertical="center" wrapText="1"/>
      <protection/>
    </xf>
    <xf numFmtId="0" fontId="5" fillId="0" borderId="29" xfId="52" applyNumberFormat="1" applyFont="1" applyBorder="1" applyAlignment="1">
      <alignment horizontal="right" vertical="center" wrapText="1"/>
      <protection/>
    </xf>
    <xf numFmtId="4" fontId="5" fillId="0" borderId="10" xfId="53" applyNumberFormat="1" applyFont="1" applyFill="1" applyBorder="1" applyAlignment="1">
      <alignment vertical="center" wrapText="1"/>
      <protection/>
    </xf>
    <xf numFmtId="0" fontId="5" fillId="0" borderId="30" xfId="52" applyNumberFormat="1" applyFont="1" applyBorder="1" applyAlignment="1">
      <alignment horizontal="right" vertical="center" wrapText="1"/>
      <protection/>
    </xf>
    <xf numFmtId="4" fontId="5" fillId="0" borderId="12" xfId="53" applyNumberFormat="1" applyFont="1" applyFill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right" vertical="center" wrapText="1"/>
      <protection/>
    </xf>
    <xf numFmtId="4" fontId="14" fillId="0" borderId="14" xfId="53" applyNumberFormat="1" applyFont="1" applyFill="1" applyBorder="1" applyAlignment="1">
      <alignment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3" fontId="5" fillId="0" borderId="12" xfId="55" applyNumberFormat="1" applyFont="1" applyBorder="1" applyAlignment="1">
      <alignment horizontal="center" vertical="center" wrapText="1"/>
      <protection/>
    </xf>
    <xf numFmtId="2" fontId="5" fillId="33" borderId="15" xfId="52" applyNumberFormat="1" applyFont="1" applyFill="1" applyBorder="1" applyAlignment="1">
      <alignment horizontal="right" vertical="center" wrapText="1"/>
      <protection/>
    </xf>
    <xf numFmtId="2" fontId="5" fillId="0" borderId="10" xfId="52" applyNumberFormat="1" applyFont="1" applyBorder="1" applyAlignment="1">
      <alignment horizontal="right" vertical="center"/>
      <protection/>
    </xf>
    <xf numFmtId="2" fontId="5" fillId="0" borderId="10" xfId="52" applyNumberFormat="1" applyFont="1" applyBorder="1">
      <alignment/>
      <protection/>
    </xf>
    <xf numFmtId="2" fontId="2" fillId="0" borderId="0" xfId="52" applyNumberFormat="1" applyFont="1">
      <alignment/>
      <protection/>
    </xf>
    <xf numFmtId="2" fontId="0" fillId="0" borderId="0" xfId="0" applyNumberFormat="1" applyFont="1" applyAlignment="1">
      <alignment/>
    </xf>
    <xf numFmtId="2" fontId="5" fillId="33" borderId="16" xfId="53" applyNumberFormat="1" applyFont="1" applyFill="1" applyBorder="1" applyAlignment="1">
      <alignment horizontal="right" vertical="center" wrapText="1"/>
      <protection/>
    </xf>
    <xf numFmtId="2" fontId="5" fillId="33" borderId="25" xfId="53" applyNumberFormat="1" applyFont="1" applyFill="1" applyBorder="1" applyAlignment="1">
      <alignment vertical="center" wrapText="1"/>
      <protection/>
    </xf>
    <xf numFmtId="2" fontId="5" fillId="33" borderId="27" xfId="53" applyNumberFormat="1" applyFont="1" applyFill="1" applyBorder="1" applyAlignment="1">
      <alignment vertical="center" wrapText="1"/>
      <protection/>
    </xf>
    <xf numFmtId="4" fontId="0" fillId="0" borderId="0" xfId="0" applyNumberFormat="1" applyFont="1" applyAlignment="1">
      <alignment/>
    </xf>
    <xf numFmtId="49" fontId="5" fillId="0" borderId="17" xfId="53" applyNumberFormat="1" applyFont="1" applyBorder="1" applyAlignment="1">
      <alignment horizontal="right"/>
      <protection/>
    </xf>
    <xf numFmtId="49" fontId="5" fillId="0" borderId="18" xfId="53" applyNumberFormat="1" applyFont="1" applyBorder="1" applyAlignment="1">
      <alignment horizontal="right"/>
      <protection/>
    </xf>
    <xf numFmtId="49" fontId="5" fillId="0" borderId="11" xfId="53" applyNumberFormat="1" applyFont="1" applyBorder="1" applyAlignment="1">
      <alignment horizontal="right"/>
      <protection/>
    </xf>
    <xf numFmtId="0" fontId="8" fillId="0" borderId="14" xfId="52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center" vertical="center" wrapText="1"/>
      <protection/>
    </xf>
    <xf numFmtId="4" fontId="8" fillId="0" borderId="10" xfId="55" applyNumberFormat="1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vertical="center" wrapText="1"/>
      <protection/>
    </xf>
    <xf numFmtId="0" fontId="5" fillId="0" borderId="14" xfId="55" applyFont="1" applyBorder="1" applyAlignment="1">
      <alignment horizontal="center" vertical="center" wrapText="1"/>
      <protection/>
    </xf>
    <xf numFmtId="0" fontId="5" fillId="0" borderId="16" xfId="55" applyFont="1" applyBorder="1" applyAlignment="1">
      <alignment vertical="center" wrapText="1"/>
      <protection/>
    </xf>
    <xf numFmtId="0" fontId="5" fillId="0" borderId="22" xfId="55" applyFont="1" applyBorder="1" applyAlignment="1">
      <alignment vertical="center" wrapText="1"/>
      <protection/>
    </xf>
    <xf numFmtId="0" fontId="5" fillId="0" borderId="16" xfId="55" applyFont="1" applyBorder="1" applyAlignment="1">
      <alignment horizontal="center" vertical="center" wrapText="1"/>
      <protection/>
    </xf>
    <xf numFmtId="0" fontId="5" fillId="0" borderId="0" xfId="55" applyFont="1" applyBorder="1" applyAlignment="1">
      <alignment vertical="center" wrapText="1"/>
      <protection/>
    </xf>
    <xf numFmtId="0" fontId="5" fillId="0" borderId="0" xfId="52" applyFont="1">
      <alignment/>
      <protection/>
    </xf>
    <xf numFmtId="2" fontId="50" fillId="0" borderId="10" xfId="0" applyNumberFormat="1" applyFont="1" applyBorder="1" applyAlignment="1">
      <alignment/>
    </xf>
    <xf numFmtId="2" fontId="50" fillId="0" borderId="0" xfId="0" applyNumberFormat="1" applyFont="1" applyAlignment="1">
      <alignment/>
    </xf>
    <xf numFmtId="2" fontId="5" fillId="33" borderId="15" xfId="55" applyNumberFormat="1" applyFont="1" applyFill="1" applyBorder="1" applyAlignment="1">
      <alignment vertical="center" wrapText="1"/>
      <protection/>
    </xf>
    <xf numFmtId="2" fontId="5" fillId="33" borderId="14" xfId="55" applyNumberFormat="1" applyFont="1" applyFill="1" applyBorder="1" applyAlignment="1">
      <alignment vertical="center" wrapText="1"/>
      <protection/>
    </xf>
    <xf numFmtId="0" fontId="5" fillId="0" borderId="0" xfId="52" applyFont="1" applyAlignment="1">
      <alignment vertical="center" wrapText="1"/>
      <protection/>
    </xf>
    <xf numFmtId="49" fontId="5" fillId="0" borderId="16" xfId="52" applyNumberFormat="1" applyFont="1" applyBorder="1" applyAlignment="1">
      <alignment vertical="center" wrapText="1"/>
      <protection/>
    </xf>
    <xf numFmtId="49" fontId="5" fillId="0" borderId="12" xfId="52" applyNumberFormat="1" applyFont="1" applyBorder="1" applyAlignment="1">
      <alignment vertical="center" wrapText="1"/>
      <protection/>
    </xf>
    <xf numFmtId="4" fontId="5" fillId="33" borderId="14" xfId="52" applyNumberFormat="1" applyFont="1" applyFill="1" applyBorder="1" applyAlignment="1">
      <alignment vertical="center" wrapText="1"/>
      <protection/>
    </xf>
    <xf numFmtId="4" fontId="4" fillId="33" borderId="14" xfId="52" applyNumberFormat="1" applyFont="1" applyFill="1" applyBorder="1" applyAlignment="1">
      <alignment vertical="center" wrapText="1"/>
      <protection/>
    </xf>
    <xf numFmtId="164" fontId="5" fillId="33" borderId="15" xfId="53" applyNumberFormat="1" applyFont="1" applyFill="1" applyBorder="1" applyAlignment="1">
      <alignment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 vertical="center" wrapText="1"/>
      <protection/>
    </xf>
    <xf numFmtId="0" fontId="5" fillId="0" borderId="14" xfId="55" applyFont="1" applyBorder="1" applyAlignment="1">
      <alignment horizontal="center" vertical="center" wrapText="1"/>
      <protection/>
    </xf>
    <xf numFmtId="0" fontId="5" fillId="0" borderId="16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right" vertical="top" wrapText="1"/>
      <protection/>
    </xf>
    <xf numFmtId="2" fontId="5" fillId="33" borderId="15" xfId="55" applyNumberFormat="1" applyFont="1" applyFill="1" applyBorder="1" applyAlignment="1">
      <alignment vertical="center" wrapText="1"/>
      <protection/>
    </xf>
    <xf numFmtId="2" fontId="5" fillId="33" borderId="14" xfId="55" applyNumberFormat="1" applyFont="1" applyFill="1" applyBorder="1" applyAlignment="1">
      <alignment vertical="center" wrapText="1"/>
      <protection/>
    </xf>
    <xf numFmtId="0" fontId="5" fillId="0" borderId="0" xfId="52" applyFont="1" applyAlignment="1">
      <alignment vertical="center" wrapText="1"/>
      <protection/>
    </xf>
    <xf numFmtId="49" fontId="5" fillId="0" borderId="16" xfId="52" applyNumberFormat="1" applyFont="1" applyBorder="1" applyAlignment="1">
      <alignment vertical="center" wrapText="1"/>
      <protection/>
    </xf>
    <xf numFmtId="49" fontId="5" fillId="0" borderId="12" xfId="52" applyNumberFormat="1" applyFont="1" applyBorder="1" applyAlignment="1">
      <alignment vertical="center" wrapText="1"/>
      <protection/>
    </xf>
    <xf numFmtId="4" fontId="5" fillId="33" borderId="14" xfId="52" applyNumberFormat="1" applyFont="1" applyFill="1" applyBorder="1" applyAlignment="1">
      <alignment vertical="center" wrapText="1"/>
      <protection/>
    </xf>
    <xf numFmtId="4" fontId="4" fillId="33" borderId="14" xfId="52" applyNumberFormat="1" applyFont="1" applyFill="1" applyBorder="1" applyAlignment="1">
      <alignment vertical="center" wrapText="1"/>
      <protection/>
    </xf>
    <xf numFmtId="164" fontId="5" fillId="33" borderId="15" xfId="53" applyNumberFormat="1" applyFont="1" applyFill="1" applyBorder="1" applyAlignment="1">
      <alignment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 vertical="center" wrapText="1"/>
      <protection/>
    </xf>
    <xf numFmtId="0" fontId="5" fillId="0" borderId="14" xfId="55" applyFont="1" applyBorder="1" applyAlignment="1">
      <alignment horizontal="center" vertical="center" wrapText="1"/>
      <protection/>
    </xf>
    <xf numFmtId="0" fontId="5" fillId="0" borderId="16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vertical="center"/>
      <protection/>
    </xf>
    <xf numFmtId="0" fontId="4" fillId="0" borderId="20" xfId="52" applyFont="1" applyBorder="1" applyAlignment="1">
      <alignment vertical="center"/>
      <protection/>
    </xf>
    <xf numFmtId="4" fontId="2" fillId="0" borderId="0" xfId="52" applyNumberFormat="1" applyFont="1">
      <alignment/>
      <protection/>
    </xf>
    <xf numFmtId="4" fontId="5" fillId="0" borderId="14" xfId="54" applyNumberFormat="1" applyFont="1" applyBorder="1" applyAlignment="1">
      <alignment vertical="center" wrapText="1"/>
      <protection/>
    </xf>
    <xf numFmtId="0" fontId="17" fillId="0" borderId="0" xfId="52" applyFont="1">
      <alignment/>
      <protection/>
    </xf>
    <xf numFmtId="164" fontId="5" fillId="33" borderId="15" xfId="53" applyNumberFormat="1" applyFont="1" applyFill="1" applyBorder="1" applyAlignment="1">
      <alignment vertical="center" wrapText="1"/>
      <protection/>
    </xf>
    <xf numFmtId="2" fontId="5" fillId="33" borderId="15" xfId="55" applyNumberFormat="1" applyFont="1" applyFill="1" applyBorder="1" applyAlignment="1">
      <alignment vertical="center" wrapText="1"/>
      <protection/>
    </xf>
    <xf numFmtId="2" fontId="5" fillId="33" borderId="14" xfId="55" applyNumberFormat="1" applyFont="1" applyFill="1" applyBorder="1" applyAlignment="1">
      <alignment vertical="center" wrapText="1"/>
      <protection/>
    </xf>
    <xf numFmtId="4" fontId="4" fillId="33" borderId="14" xfId="52" applyNumberFormat="1" applyFont="1" applyFill="1" applyBorder="1" applyAlignment="1">
      <alignment vertical="center" wrapText="1"/>
      <protection/>
    </xf>
    <xf numFmtId="4" fontId="5" fillId="33" borderId="14" xfId="52" applyNumberFormat="1" applyFont="1" applyFill="1" applyBorder="1" applyAlignment="1">
      <alignment vertical="center" wrapText="1"/>
      <protection/>
    </xf>
    <xf numFmtId="49" fontId="5" fillId="0" borderId="16" xfId="52" applyNumberFormat="1" applyFont="1" applyBorder="1" applyAlignment="1">
      <alignment vertical="center" wrapText="1"/>
      <protection/>
    </xf>
    <xf numFmtId="49" fontId="5" fillId="0" borderId="12" xfId="52" applyNumberFormat="1" applyFont="1" applyBorder="1" applyAlignment="1">
      <alignment vertical="center" wrapText="1"/>
      <protection/>
    </xf>
    <xf numFmtId="0" fontId="5" fillId="0" borderId="0" xfId="52" applyFont="1" applyAlignment="1">
      <alignment vertical="center" wrapText="1"/>
      <protection/>
    </xf>
    <xf numFmtId="0" fontId="5" fillId="0" borderId="15" xfId="55" applyFont="1" applyBorder="1" applyAlignment="1">
      <alignment horizontal="center" vertical="center" wrapText="1"/>
      <protection/>
    </xf>
    <xf numFmtId="0" fontId="5" fillId="0" borderId="14" xfId="55" applyFont="1" applyBorder="1" applyAlignment="1">
      <alignment horizontal="center" vertical="center" wrapText="1"/>
      <protection/>
    </xf>
    <xf numFmtId="0" fontId="5" fillId="0" borderId="16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2" fontId="5" fillId="33" borderId="15" xfId="55" applyNumberFormat="1" applyFont="1" applyFill="1" applyBorder="1" applyAlignment="1">
      <alignment vertical="center" wrapText="1"/>
      <protection/>
    </xf>
    <xf numFmtId="2" fontId="5" fillId="33" borderId="14" xfId="55" applyNumberFormat="1" applyFont="1" applyFill="1" applyBorder="1" applyAlignment="1">
      <alignment vertical="center" wrapText="1"/>
      <protection/>
    </xf>
    <xf numFmtId="0" fontId="5" fillId="0" borderId="0" xfId="52" applyFont="1" applyAlignment="1">
      <alignment vertical="center" wrapText="1"/>
      <protection/>
    </xf>
    <xf numFmtId="49" fontId="5" fillId="0" borderId="16" xfId="52" applyNumberFormat="1" applyFont="1" applyBorder="1" applyAlignment="1">
      <alignment vertical="center" wrapText="1"/>
      <protection/>
    </xf>
    <xf numFmtId="49" fontId="5" fillId="0" borderId="12" xfId="52" applyNumberFormat="1" applyFont="1" applyBorder="1" applyAlignment="1">
      <alignment vertical="center" wrapText="1"/>
      <protection/>
    </xf>
    <xf numFmtId="4" fontId="5" fillId="33" borderId="14" xfId="52" applyNumberFormat="1" applyFont="1" applyFill="1" applyBorder="1" applyAlignment="1">
      <alignment vertical="center" wrapText="1"/>
      <protection/>
    </xf>
    <xf numFmtId="4" fontId="4" fillId="33" borderId="14" xfId="52" applyNumberFormat="1" applyFont="1" applyFill="1" applyBorder="1" applyAlignment="1">
      <alignment vertical="center" wrapText="1"/>
      <protection/>
    </xf>
    <xf numFmtId="164" fontId="5" fillId="33" borderId="15" xfId="53" applyNumberFormat="1" applyFont="1" applyFill="1" applyBorder="1" applyAlignment="1">
      <alignment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 vertical="center" wrapText="1"/>
      <protection/>
    </xf>
    <xf numFmtId="0" fontId="5" fillId="0" borderId="14" xfId="55" applyFont="1" applyBorder="1" applyAlignment="1">
      <alignment horizontal="center" vertical="center" wrapText="1"/>
      <protection/>
    </xf>
    <xf numFmtId="0" fontId="5" fillId="0" borderId="16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164" fontId="5" fillId="33" borderId="15" xfId="53" applyNumberFormat="1" applyFont="1" applyFill="1" applyBorder="1" applyAlignment="1">
      <alignment vertical="center" wrapText="1"/>
      <protection/>
    </xf>
    <xf numFmtId="2" fontId="5" fillId="33" borderId="15" xfId="55" applyNumberFormat="1" applyFont="1" applyFill="1" applyBorder="1" applyAlignment="1">
      <alignment vertical="center" wrapText="1"/>
      <protection/>
    </xf>
    <xf numFmtId="2" fontId="5" fillId="33" borderId="14" xfId="55" applyNumberFormat="1" applyFont="1" applyFill="1" applyBorder="1" applyAlignment="1">
      <alignment vertical="center" wrapText="1"/>
      <protection/>
    </xf>
    <xf numFmtId="4" fontId="4" fillId="33" borderId="14" xfId="52" applyNumberFormat="1" applyFont="1" applyFill="1" applyBorder="1" applyAlignment="1">
      <alignment vertical="center" wrapText="1"/>
      <protection/>
    </xf>
    <xf numFmtId="4" fontId="5" fillId="33" borderId="14" xfId="52" applyNumberFormat="1" applyFont="1" applyFill="1" applyBorder="1" applyAlignment="1">
      <alignment vertical="center" wrapText="1"/>
      <protection/>
    </xf>
    <xf numFmtId="49" fontId="5" fillId="0" borderId="16" xfId="52" applyNumberFormat="1" applyFont="1" applyBorder="1" applyAlignment="1">
      <alignment vertical="center" wrapText="1"/>
      <protection/>
    </xf>
    <xf numFmtId="49" fontId="5" fillId="0" borderId="12" xfId="52" applyNumberFormat="1" applyFont="1" applyBorder="1" applyAlignment="1">
      <alignment vertical="center" wrapText="1"/>
      <protection/>
    </xf>
    <xf numFmtId="0" fontId="5" fillId="0" borderId="0" xfId="52" applyFont="1" applyAlignment="1">
      <alignment vertical="center" wrapText="1"/>
      <protection/>
    </xf>
    <xf numFmtId="0" fontId="5" fillId="0" borderId="15" xfId="55" applyFont="1" applyBorder="1" applyAlignment="1">
      <alignment horizontal="center" vertical="center" wrapText="1"/>
      <protection/>
    </xf>
    <xf numFmtId="0" fontId="5" fillId="0" borderId="14" xfId="55" applyFont="1" applyBorder="1" applyAlignment="1">
      <alignment horizontal="center" vertical="center" wrapText="1"/>
      <protection/>
    </xf>
    <xf numFmtId="0" fontId="5" fillId="0" borderId="16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2" fontId="5" fillId="33" borderId="15" xfId="55" applyNumberFormat="1" applyFont="1" applyFill="1" applyBorder="1" applyAlignment="1">
      <alignment vertical="center" wrapText="1"/>
      <protection/>
    </xf>
    <xf numFmtId="2" fontId="5" fillId="33" borderId="14" xfId="55" applyNumberFormat="1" applyFont="1" applyFill="1" applyBorder="1" applyAlignment="1">
      <alignment vertical="center" wrapText="1"/>
      <protection/>
    </xf>
    <xf numFmtId="0" fontId="5" fillId="0" borderId="0" xfId="52" applyFont="1" applyAlignment="1">
      <alignment vertical="center" wrapText="1"/>
      <protection/>
    </xf>
    <xf numFmtId="49" fontId="5" fillId="0" borderId="16" xfId="52" applyNumberFormat="1" applyFont="1" applyBorder="1" applyAlignment="1">
      <alignment vertical="center" wrapText="1"/>
      <protection/>
    </xf>
    <xf numFmtId="49" fontId="5" fillId="0" borderId="12" xfId="52" applyNumberFormat="1" applyFont="1" applyBorder="1" applyAlignment="1">
      <alignment vertical="center" wrapText="1"/>
      <protection/>
    </xf>
    <xf numFmtId="4" fontId="5" fillId="33" borderId="14" xfId="52" applyNumberFormat="1" applyFont="1" applyFill="1" applyBorder="1" applyAlignment="1">
      <alignment vertical="center" wrapText="1"/>
      <protection/>
    </xf>
    <xf numFmtId="4" fontId="4" fillId="33" borderId="14" xfId="52" applyNumberFormat="1" applyFont="1" applyFill="1" applyBorder="1" applyAlignment="1">
      <alignment vertical="center" wrapText="1"/>
      <protection/>
    </xf>
    <xf numFmtId="164" fontId="5" fillId="33" borderId="15" xfId="53" applyNumberFormat="1" applyFont="1" applyFill="1" applyBorder="1" applyAlignment="1">
      <alignment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 vertical="center" wrapText="1"/>
      <protection/>
    </xf>
    <xf numFmtId="0" fontId="5" fillId="0" borderId="14" xfId="55" applyFont="1" applyBorder="1" applyAlignment="1">
      <alignment horizontal="center" vertical="center" wrapText="1"/>
      <protection/>
    </xf>
    <xf numFmtId="0" fontId="5" fillId="0" borderId="16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4" fontId="5" fillId="0" borderId="14" xfId="54" applyNumberFormat="1" applyFont="1" applyBorder="1" applyAlignment="1">
      <alignment vertical="center"/>
      <protection/>
    </xf>
    <xf numFmtId="2" fontId="5" fillId="33" borderId="15" xfId="55" applyNumberFormat="1" applyFont="1" applyFill="1" applyBorder="1" applyAlignment="1">
      <alignment vertical="center" wrapText="1"/>
      <protection/>
    </xf>
    <xf numFmtId="2" fontId="5" fillId="33" borderId="14" xfId="55" applyNumberFormat="1" applyFont="1" applyFill="1" applyBorder="1" applyAlignment="1">
      <alignment vertical="center" wrapText="1"/>
      <protection/>
    </xf>
    <xf numFmtId="0" fontId="5" fillId="0" borderId="0" xfId="52" applyFont="1" applyAlignment="1">
      <alignment vertical="center" wrapText="1"/>
      <protection/>
    </xf>
    <xf numFmtId="49" fontId="5" fillId="0" borderId="16" xfId="52" applyNumberFormat="1" applyFont="1" applyBorder="1" applyAlignment="1">
      <alignment vertical="center" wrapText="1"/>
      <protection/>
    </xf>
    <xf numFmtId="49" fontId="5" fillId="0" borderId="12" xfId="52" applyNumberFormat="1" applyFont="1" applyBorder="1" applyAlignment="1">
      <alignment vertical="center" wrapText="1"/>
      <protection/>
    </xf>
    <xf numFmtId="4" fontId="5" fillId="33" borderId="14" xfId="52" applyNumberFormat="1" applyFont="1" applyFill="1" applyBorder="1" applyAlignment="1">
      <alignment vertical="center" wrapText="1"/>
      <protection/>
    </xf>
    <xf numFmtId="4" fontId="4" fillId="33" borderId="14" xfId="52" applyNumberFormat="1" applyFont="1" applyFill="1" applyBorder="1" applyAlignment="1">
      <alignment vertical="center" wrapText="1"/>
      <protection/>
    </xf>
    <xf numFmtId="164" fontId="5" fillId="33" borderId="15" xfId="53" applyNumberFormat="1" applyFont="1" applyFill="1" applyBorder="1" applyAlignment="1">
      <alignment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 vertical="center" wrapText="1"/>
      <protection/>
    </xf>
    <xf numFmtId="0" fontId="5" fillId="0" borderId="14" xfId="55" applyFont="1" applyBorder="1" applyAlignment="1">
      <alignment horizontal="center" vertical="center" wrapText="1"/>
      <protection/>
    </xf>
    <xf numFmtId="0" fontId="5" fillId="0" borderId="16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34" borderId="14" xfId="53" applyFont="1" applyFill="1" applyBorder="1" applyAlignment="1">
      <alignment wrapText="1"/>
      <protection/>
    </xf>
    <xf numFmtId="0" fontId="4" fillId="34" borderId="27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0" borderId="27" xfId="52" applyFont="1" applyBorder="1" applyAlignment="1">
      <alignment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5" fillId="0" borderId="27" xfId="52" applyFont="1" applyBorder="1" applyAlignment="1">
      <alignment vertical="center" wrapText="1"/>
      <protection/>
    </xf>
    <xf numFmtId="0" fontId="5" fillId="0" borderId="14" xfId="52" applyFont="1" applyBorder="1" applyAlignment="1">
      <alignment vertical="center" wrapText="1"/>
      <protection/>
    </xf>
    <xf numFmtId="2" fontId="5" fillId="33" borderId="15" xfId="55" applyNumberFormat="1" applyFont="1" applyFill="1" applyBorder="1" applyAlignment="1">
      <alignment vertical="center" wrapText="1"/>
      <protection/>
    </xf>
    <xf numFmtId="2" fontId="5" fillId="33" borderId="14" xfId="55" applyNumberFormat="1" applyFont="1" applyFill="1" applyBorder="1" applyAlignment="1">
      <alignment vertical="center" wrapText="1"/>
      <protection/>
    </xf>
    <xf numFmtId="0" fontId="8" fillId="34" borderId="15" xfId="53" applyFont="1" applyFill="1" applyBorder="1" applyAlignment="1">
      <alignment horizontal="center" vertical="center" wrapText="1"/>
      <protection/>
    </xf>
    <xf numFmtId="0" fontId="8" fillId="34" borderId="27" xfId="53" applyFont="1" applyFill="1" applyBorder="1" applyAlignment="1">
      <alignment horizontal="center" vertical="center" wrapText="1"/>
      <protection/>
    </xf>
    <xf numFmtId="0" fontId="8" fillId="34" borderId="14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8" fillId="0" borderId="27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4" fillId="34" borderId="27" xfId="53" applyFont="1" applyFill="1" applyBorder="1" applyAlignment="1">
      <alignment horizontal="left" vertical="center" wrapText="1"/>
      <protection/>
    </xf>
    <xf numFmtId="0" fontId="4" fillId="34" borderId="14" xfId="53" applyFont="1" applyFill="1" applyBorder="1" applyAlignment="1">
      <alignment horizontal="left" vertical="center" wrapText="1"/>
      <protection/>
    </xf>
    <xf numFmtId="0" fontId="5" fillId="34" borderId="15" xfId="53" applyFont="1" applyFill="1" applyBorder="1" applyAlignment="1">
      <alignment horizontal="center" wrapText="1"/>
      <protection/>
    </xf>
    <xf numFmtId="0" fontId="5" fillId="34" borderId="27" xfId="53" applyFont="1" applyFill="1" applyBorder="1" applyAlignment="1">
      <alignment horizontal="center" wrapText="1"/>
      <protection/>
    </xf>
    <xf numFmtId="0" fontId="5" fillId="34" borderId="14" xfId="53" applyFont="1" applyFill="1" applyBorder="1" applyAlignment="1">
      <alignment horizontal="center" wrapText="1"/>
      <protection/>
    </xf>
    <xf numFmtId="0" fontId="5" fillId="0" borderId="0" xfId="52" applyFont="1" applyAlignment="1">
      <alignment vertical="center" wrapText="1"/>
      <protection/>
    </xf>
    <xf numFmtId="0" fontId="4" fillId="0" borderId="27" xfId="55" applyFont="1" applyBorder="1" applyAlignment="1">
      <alignment vertical="center" wrapText="1"/>
      <protection/>
    </xf>
    <xf numFmtId="0" fontId="4" fillId="0" borderId="14" xfId="55" applyFont="1" applyBorder="1" applyAlignment="1">
      <alignment vertical="center" wrapText="1"/>
      <protection/>
    </xf>
    <xf numFmtId="0" fontId="5" fillId="33" borderId="27" xfId="55" applyFont="1" applyFill="1" applyBorder="1" applyAlignment="1">
      <alignment vertical="center" wrapText="1"/>
      <protection/>
    </xf>
    <xf numFmtId="0" fontId="5" fillId="33" borderId="31" xfId="55" applyFont="1" applyFill="1" applyBorder="1" applyAlignment="1">
      <alignment vertical="center" wrapText="1"/>
      <protection/>
    </xf>
    <xf numFmtId="0" fontId="5" fillId="33" borderId="23" xfId="55" applyFont="1" applyFill="1" applyBorder="1" applyAlignment="1">
      <alignment vertical="center" wrapText="1"/>
      <protection/>
    </xf>
    <xf numFmtId="0" fontId="5" fillId="0" borderId="0" xfId="52" applyFont="1" applyBorder="1" applyAlignment="1">
      <alignment vertical="center" wrapText="1"/>
      <protection/>
    </xf>
    <xf numFmtId="49" fontId="4" fillId="0" borderId="15" xfId="52" applyNumberFormat="1" applyFont="1" applyFill="1" applyBorder="1" applyAlignment="1">
      <alignment horizontal="center" vertical="center" wrapText="1"/>
      <protection/>
    </xf>
    <xf numFmtId="49" fontId="4" fillId="0" borderId="27" xfId="52" applyNumberFormat="1" applyFont="1" applyFill="1" applyBorder="1" applyAlignment="1">
      <alignment horizontal="center" vertical="center" wrapText="1"/>
      <protection/>
    </xf>
    <xf numFmtId="49" fontId="4" fillId="0" borderId="14" xfId="52" applyNumberFormat="1" applyFont="1" applyFill="1" applyBorder="1" applyAlignment="1">
      <alignment horizontal="center" vertical="center" wrapText="1"/>
      <protection/>
    </xf>
    <xf numFmtId="0" fontId="8" fillId="34" borderId="15" xfId="53" applyFont="1" applyFill="1" applyBorder="1" applyAlignment="1">
      <alignment horizontal="right" wrapText="1"/>
      <protection/>
    </xf>
    <xf numFmtId="0" fontId="8" fillId="34" borderId="27" xfId="53" applyFont="1" applyFill="1" applyBorder="1" applyAlignment="1">
      <alignment horizontal="right" wrapText="1"/>
      <protection/>
    </xf>
    <xf numFmtId="0" fontId="8" fillId="34" borderId="14" xfId="53" applyFont="1" applyFill="1" applyBorder="1" applyAlignment="1">
      <alignment horizontal="right" wrapText="1"/>
      <protection/>
    </xf>
    <xf numFmtId="0" fontId="8" fillId="34" borderId="15" xfId="53" applyFont="1" applyFill="1" applyBorder="1" applyAlignment="1">
      <alignment horizontal="right" vertical="center" wrapText="1"/>
      <protection/>
    </xf>
    <xf numFmtId="0" fontId="8" fillId="34" borderId="27" xfId="53" applyFont="1" applyFill="1" applyBorder="1" applyAlignment="1">
      <alignment horizontal="right" vertical="center" wrapText="1"/>
      <protection/>
    </xf>
    <xf numFmtId="0" fontId="8" fillId="34" borderId="14" xfId="53" applyFont="1" applyFill="1" applyBorder="1" applyAlignment="1">
      <alignment horizontal="right" vertical="center" wrapText="1"/>
      <protection/>
    </xf>
    <xf numFmtId="0" fontId="5" fillId="34" borderId="15" xfId="53" applyFont="1" applyFill="1" applyBorder="1" applyAlignment="1">
      <alignment horizontal="center" vertical="center" wrapText="1"/>
      <protection/>
    </xf>
    <xf numFmtId="0" fontId="5" fillId="34" borderId="27" xfId="53" applyFont="1" applyFill="1" applyBorder="1" applyAlignment="1">
      <alignment horizontal="center" vertical="center" wrapText="1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164" fontId="4" fillId="33" borderId="25" xfId="52" applyNumberFormat="1" applyFont="1" applyFill="1" applyBorder="1" applyAlignment="1">
      <alignment horizontal="center" vertical="center" wrapText="1"/>
      <protection/>
    </xf>
    <xf numFmtId="164" fontId="4" fillId="33" borderId="22" xfId="52" applyNumberFormat="1" applyFont="1" applyFill="1" applyBorder="1" applyAlignment="1">
      <alignment horizontal="center" vertical="center" wrapText="1"/>
      <protection/>
    </xf>
    <xf numFmtId="164" fontId="4" fillId="33" borderId="31" xfId="52" applyNumberFormat="1" applyFont="1" applyFill="1" applyBorder="1" applyAlignment="1">
      <alignment horizontal="center" vertical="center" wrapText="1"/>
      <protection/>
    </xf>
    <xf numFmtId="164" fontId="4" fillId="33" borderId="23" xfId="52" applyNumberFormat="1" applyFont="1" applyFill="1" applyBorder="1" applyAlignment="1">
      <alignment horizontal="center" vertical="center" wrapText="1"/>
      <protection/>
    </xf>
    <xf numFmtId="164" fontId="7" fillId="0" borderId="32" xfId="52" applyNumberFormat="1" applyFont="1" applyFill="1" applyBorder="1" applyAlignment="1">
      <alignment horizontal="center" vertical="center" wrapText="1"/>
      <protection/>
    </xf>
    <xf numFmtId="164" fontId="7" fillId="0" borderId="25" xfId="52" applyNumberFormat="1" applyFont="1" applyFill="1" applyBorder="1" applyAlignment="1">
      <alignment horizontal="center" vertical="center" wrapText="1"/>
      <protection/>
    </xf>
    <xf numFmtId="164" fontId="7" fillId="0" borderId="22" xfId="52" applyNumberFormat="1" applyFont="1" applyFill="1" applyBorder="1" applyAlignment="1">
      <alignment horizontal="center" vertical="center" wrapText="1"/>
      <protection/>
    </xf>
    <xf numFmtId="164" fontId="7" fillId="0" borderId="33" xfId="52" applyNumberFormat="1" applyFont="1" applyFill="1" applyBorder="1" applyAlignment="1">
      <alignment horizontal="center" vertical="center" wrapText="1"/>
      <protection/>
    </xf>
    <xf numFmtId="164" fontId="7" fillId="0" borderId="31" xfId="52" applyNumberFormat="1" applyFont="1" applyFill="1" applyBorder="1" applyAlignment="1">
      <alignment horizontal="center" vertical="center" wrapText="1"/>
      <protection/>
    </xf>
    <xf numFmtId="164" fontId="7" fillId="0" borderId="23" xfId="52" applyNumberFormat="1" applyFont="1" applyFill="1" applyBorder="1" applyAlignment="1">
      <alignment horizontal="center" vertical="center" wrapText="1"/>
      <protection/>
    </xf>
    <xf numFmtId="164" fontId="7" fillId="0" borderId="16" xfId="52" applyNumberFormat="1" applyFont="1" applyFill="1" applyBorder="1" applyAlignment="1">
      <alignment horizontal="center" vertical="center" wrapText="1"/>
      <protection/>
    </xf>
    <xf numFmtId="164" fontId="7" fillId="0" borderId="12" xfId="52" applyNumberFormat="1" applyFont="1" applyFill="1" applyBorder="1" applyAlignment="1">
      <alignment horizontal="center" vertical="center" wrapText="1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7" fillId="0" borderId="15" xfId="55" applyFont="1" applyBorder="1" applyAlignment="1">
      <alignment horizontal="center" vertical="center" wrapText="1"/>
      <protection/>
    </xf>
    <xf numFmtId="0" fontId="7" fillId="0" borderId="27" xfId="55" applyFont="1" applyBorder="1" applyAlignment="1">
      <alignment horizontal="center" vertical="center" wrapText="1"/>
      <protection/>
    </xf>
    <xf numFmtId="0" fontId="7" fillId="0" borderId="14" xfId="55" applyFont="1" applyBorder="1" applyAlignment="1">
      <alignment horizontal="center" vertical="center" wrapText="1"/>
      <protection/>
    </xf>
    <xf numFmtId="0" fontId="7" fillId="0" borderId="16" xfId="55" applyFont="1" applyBorder="1" applyAlignment="1">
      <alignment horizontal="center" vertical="center" wrapText="1"/>
      <protection/>
    </xf>
    <xf numFmtId="0" fontId="7" fillId="0" borderId="12" xfId="55" applyFont="1" applyBorder="1" applyAlignment="1">
      <alignment horizontal="center" vertical="center" wrapText="1"/>
      <protection/>
    </xf>
    <xf numFmtId="0" fontId="5" fillId="34" borderId="15" xfId="53" applyFont="1" applyFill="1" applyBorder="1" applyAlignment="1">
      <alignment horizontal="center" vertical="top" wrapText="1"/>
      <protection/>
    </xf>
    <xf numFmtId="0" fontId="5" fillId="34" borderId="27" xfId="53" applyFont="1" applyFill="1" applyBorder="1" applyAlignment="1">
      <alignment horizontal="center" vertical="top" wrapText="1"/>
      <protection/>
    </xf>
    <xf numFmtId="0" fontId="5" fillId="34" borderId="14" xfId="53" applyFont="1" applyFill="1" applyBorder="1" applyAlignment="1">
      <alignment horizontal="center" vertical="top" wrapText="1"/>
      <protection/>
    </xf>
    <xf numFmtId="0" fontId="12" fillId="34" borderId="15" xfId="53" applyFont="1" applyFill="1" applyBorder="1" applyAlignment="1">
      <alignment horizontal="center" vertical="center" wrapText="1"/>
      <protection/>
    </xf>
    <xf numFmtId="0" fontId="12" fillId="34" borderId="27" xfId="53" applyFont="1" applyFill="1" applyBorder="1" applyAlignment="1">
      <alignment horizontal="center" vertical="center" wrapText="1"/>
      <protection/>
    </xf>
    <xf numFmtId="0" fontId="12" fillId="34" borderId="14" xfId="53" applyFont="1" applyFill="1" applyBorder="1" applyAlignment="1">
      <alignment horizontal="center" vertical="center" wrapText="1"/>
      <protection/>
    </xf>
    <xf numFmtId="0" fontId="5" fillId="34" borderId="15" xfId="53" applyFont="1" applyFill="1" applyBorder="1" applyAlignment="1">
      <alignment horizontal="left" vertical="center" wrapText="1"/>
      <protection/>
    </xf>
    <xf numFmtId="0" fontId="5" fillId="34" borderId="27" xfId="53" applyFont="1" applyFill="1" applyBorder="1" applyAlignment="1">
      <alignment horizontal="left" vertical="center" wrapText="1"/>
      <protection/>
    </xf>
    <xf numFmtId="0" fontId="5" fillId="34" borderId="14" xfId="53" applyFont="1" applyFill="1" applyBorder="1" applyAlignment="1">
      <alignment horizontal="left" vertical="center" wrapText="1"/>
      <protection/>
    </xf>
    <xf numFmtId="0" fontId="5" fillId="34" borderId="15" xfId="53" applyFont="1" applyFill="1" applyBorder="1" applyAlignment="1">
      <alignment horizontal="center"/>
      <protection/>
    </xf>
    <xf numFmtId="0" fontId="5" fillId="34" borderId="27" xfId="53" applyFont="1" applyFill="1" applyBorder="1" applyAlignment="1">
      <alignment horizontal="center"/>
      <protection/>
    </xf>
    <xf numFmtId="0" fontId="5" fillId="34" borderId="14" xfId="53" applyFont="1" applyFill="1" applyBorder="1" applyAlignment="1">
      <alignment horizontal="center"/>
      <protection/>
    </xf>
    <xf numFmtId="0" fontId="4" fillId="0" borderId="16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vertical="center" wrapText="1"/>
      <protection/>
    </xf>
    <xf numFmtId="0" fontId="4" fillId="34" borderId="27" xfId="53" applyFont="1" applyFill="1" applyBorder="1" applyAlignment="1">
      <alignment vertical="center" wrapText="1"/>
      <protection/>
    </xf>
    <xf numFmtId="0" fontId="4" fillId="34" borderId="14" xfId="53" applyFont="1" applyFill="1" applyBorder="1" applyAlignment="1">
      <alignment vertical="center" wrapText="1"/>
      <protection/>
    </xf>
    <xf numFmtId="49" fontId="5" fillId="0" borderId="16" xfId="53" applyNumberFormat="1" applyFont="1" applyBorder="1" applyAlignment="1">
      <alignment horizontal="center"/>
      <protection/>
    </xf>
    <xf numFmtId="49" fontId="5" fillId="0" borderId="12" xfId="53" applyNumberFormat="1" applyFont="1" applyBorder="1" applyAlignment="1">
      <alignment horizontal="center"/>
      <protection/>
    </xf>
    <xf numFmtId="164" fontId="4" fillId="0" borderId="32" xfId="52" applyNumberFormat="1" applyFont="1" applyFill="1" applyBorder="1" applyAlignment="1">
      <alignment horizontal="center" vertical="center" wrapText="1"/>
      <protection/>
    </xf>
    <xf numFmtId="164" fontId="4" fillId="0" borderId="25" xfId="52" applyNumberFormat="1" applyFont="1" applyFill="1" applyBorder="1" applyAlignment="1">
      <alignment horizontal="center" vertical="center" wrapText="1"/>
      <protection/>
    </xf>
    <xf numFmtId="164" fontId="4" fillId="0" borderId="22" xfId="52" applyNumberFormat="1" applyFont="1" applyFill="1" applyBorder="1" applyAlignment="1">
      <alignment horizontal="center" vertical="center" wrapText="1"/>
      <protection/>
    </xf>
    <xf numFmtId="164" fontId="4" fillId="0" borderId="33" xfId="52" applyNumberFormat="1" applyFont="1" applyFill="1" applyBorder="1" applyAlignment="1">
      <alignment horizontal="center" vertical="center" wrapText="1"/>
      <protection/>
    </xf>
    <xf numFmtId="164" fontId="4" fillId="0" borderId="31" xfId="52" applyNumberFormat="1" applyFont="1" applyFill="1" applyBorder="1" applyAlignment="1">
      <alignment horizontal="center" vertical="center" wrapText="1"/>
      <protection/>
    </xf>
    <xf numFmtId="164" fontId="4" fillId="0" borderId="23" xfId="52" applyNumberFormat="1" applyFont="1" applyFill="1" applyBorder="1" applyAlignment="1">
      <alignment horizontal="center" vertical="center" wrapText="1"/>
      <protection/>
    </xf>
    <xf numFmtId="164" fontId="4" fillId="0" borderId="16" xfId="52" applyNumberFormat="1" applyFont="1" applyFill="1" applyBorder="1" applyAlignment="1">
      <alignment horizontal="center" vertical="center" wrapText="1"/>
      <protection/>
    </xf>
    <xf numFmtId="164" fontId="4" fillId="0" borderId="12" xfId="52" applyNumberFormat="1" applyFont="1" applyFill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27" xfId="55" applyFont="1" applyBorder="1" applyAlignment="1">
      <alignment horizontal="center" vertical="center" wrapText="1"/>
      <protection/>
    </xf>
    <xf numFmtId="49" fontId="4" fillId="0" borderId="16" xfId="53" applyNumberFormat="1" applyFont="1" applyBorder="1" applyAlignment="1">
      <alignment horizontal="center"/>
      <protection/>
    </xf>
    <xf numFmtId="49" fontId="4" fillId="0" borderId="12" xfId="53" applyNumberFormat="1" applyFont="1" applyBorder="1" applyAlignment="1">
      <alignment horizontal="center"/>
      <protection/>
    </xf>
    <xf numFmtId="164" fontId="4" fillId="33" borderId="32" xfId="52" applyNumberFormat="1" applyFont="1" applyFill="1" applyBorder="1" applyAlignment="1">
      <alignment horizontal="center" wrapText="1"/>
      <protection/>
    </xf>
    <xf numFmtId="164" fontId="4" fillId="33" borderId="25" xfId="52" applyNumberFormat="1" applyFont="1" applyFill="1" applyBorder="1" applyAlignment="1">
      <alignment horizontal="center" wrapText="1"/>
      <protection/>
    </xf>
    <xf numFmtId="164" fontId="4" fillId="33" borderId="22" xfId="52" applyNumberFormat="1" applyFont="1" applyFill="1" applyBorder="1" applyAlignment="1">
      <alignment horizontal="center" wrapText="1"/>
      <protection/>
    </xf>
    <xf numFmtId="164" fontId="4" fillId="33" borderId="33" xfId="52" applyNumberFormat="1" applyFont="1" applyFill="1" applyBorder="1" applyAlignment="1">
      <alignment horizontal="center" wrapText="1"/>
      <protection/>
    </xf>
    <xf numFmtId="164" fontId="4" fillId="33" borderId="31" xfId="52" applyNumberFormat="1" applyFont="1" applyFill="1" applyBorder="1" applyAlignment="1">
      <alignment horizontal="center" wrapText="1"/>
      <protection/>
    </xf>
    <xf numFmtId="164" fontId="4" fillId="33" borderId="23" xfId="52" applyNumberFormat="1" applyFont="1" applyFill="1" applyBorder="1" applyAlignment="1">
      <alignment horizontal="center" wrapText="1"/>
      <protection/>
    </xf>
    <xf numFmtId="0" fontId="11" fillId="34" borderId="15" xfId="53" applyFont="1" applyFill="1" applyBorder="1" applyAlignment="1">
      <alignment horizontal="left" vertical="center" wrapText="1"/>
      <protection/>
    </xf>
    <xf numFmtId="0" fontId="11" fillId="34" borderId="27" xfId="53" applyFont="1" applyFill="1" applyBorder="1" applyAlignment="1">
      <alignment horizontal="left" vertical="center" wrapText="1"/>
      <protection/>
    </xf>
    <xf numFmtId="0" fontId="11" fillId="34" borderId="14" xfId="53" applyFont="1" applyFill="1" applyBorder="1" applyAlignment="1">
      <alignment horizontal="left" vertical="center" wrapText="1"/>
      <protection/>
    </xf>
    <xf numFmtId="0" fontId="8" fillId="34" borderId="15" xfId="53" applyFont="1" applyFill="1" applyBorder="1" applyAlignment="1">
      <alignment horizontal="left" vertical="center"/>
      <protection/>
    </xf>
    <xf numFmtId="0" fontId="8" fillId="34" borderId="27" xfId="53" applyFont="1" applyFill="1" applyBorder="1" applyAlignment="1">
      <alignment horizontal="left" vertical="center"/>
      <protection/>
    </xf>
    <xf numFmtId="0" fontId="8" fillId="34" borderId="14" xfId="53" applyFont="1" applyFill="1" applyBorder="1" applyAlignment="1">
      <alignment horizontal="left" vertical="center"/>
      <protection/>
    </xf>
    <xf numFmtId="0" fontId="4" fillId="34" borderId="15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left" vertical="center" wrapText="1"/>
      <protection/>
    </xf>
    <xf numFmtId="0" fontId="5" fillId="34" borderId="15" xfId="53" applyFont="1" applyFill="1" applyBorder="1" applyAlignment="1">
      <alignment horizontal="right" vertical="center" wrapText="1"/>
      <protection/>
    </xf>
    <xf numFmtId="0" fontId="5" fillId="34" borderId="27" xfId="53" applyFont="1" applyFill="1" applyBorder="1" applyAlignment="1">
      <alignment horizontal="right" vertical="center" wrapText="1"/>
      <protection/>
    </xf>
    <xf numFmtId="0" fontId="5" fillId="34" borderId="14" xfId="53" applyFont="1" applyFill="1" applyBorder="1" applyAlignment="1">
      <alignment horizontal="right" vertical="center" wrapText="1"/>
      <protection/>
    </xf>
    <xf numFmtId="0" fontId="5" fillId="34" borderId="15" xfId="53" applyFont="1" applyFill="1" applyBorder="1" applyAlignment="1">
      <alignment horizontal="left" wrapText="1"/>
      <protection/>
    </xf>
    <xf numFmtId="0" fontId="5" fillId="34" borderId="27" xfId="53" applyFont="1" applyFill="1" applyBorder="1" applyAlignment="1">
      <alignment horizontal="left" wrapText="1"/>
      <protection/>
    </xf>
    <xf numFmtId="0" fontId="5" fillId="34" borderId="14" xfId="53" applyFont="1" applyFill="1" applyBorder="1" applyAlignment="1">
      <alignment horizontal="left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27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164" fontId="4" fillId="33" borderId="15" xfId="52" applyNumberFormat="1" applyFont="1" applyFill="1" applyBorder="1" applyAlignment="1">
      <alignment vertical="center" wrapText="1"/>
      <protection/>
    </xf>
    <xf numFmtId="164" fontId="4" fillId="33" borderId="27" xfId="52" applyNumberFormat="1" applyFont="1" applyFill="1" applyBorder="1" applyAlignment="1">
      <alignment vertical="center" wrapText="1"/>
      <protection/>
    </xf>
    <xf numFmtId="164" fontId="4" fillId="33" borderId="14" xfId="52" applyNumberFormat="1" applyFont="1" applyFill="1" applyBorder="1" applyAlignment="1">
      <alignment vertical="center" wrapText="1"/>
      <protection/>
    </xf>
    <xf numFmtId="2" fontId="5" fillId="33" borderId="15" xfId="52" applyNumberFormat="1" applyFont="1" applyFill="1" applyBorder="1" applyAlignment="1">
      <alignment vertical="center" wrapText="1"/>
      <protection/>
    </xf>
    <xf numFmtId="2" fontId="5" fillId="33" borderId="27" xfId="52" applyNumberFormat="1" applyFont="1" applyFill="1" applyBorder="1" applyAlignment="1">
      <alignment vertical="center" wrapText="1"/>
      <protection/>
    </xf>
    <xf numFmtId="2" fontId="5" fillId="33" borderId="14" xfId="52" applyNumberFormat="1" applyFont="1" applyFill="1" applyBorder="1" applyAlignment="1">
      <alignment vertical="center" wrapText="1"/>
      <protection/>
    </xf>
    <xf numFmtId="49" fontId="4" fillId="0" borderId="16" xfId="52" applyNumberFormat="1" applyFont="1" applyBorder="1" applyAlignment="1">
      <alignment vertical="center" wrapText="1"/>
      <protection/>
    </xf>
    <xf numFmtId="49" fontId="4" fillId="0" borderId="12" xfId="52" applyNumberFormat="1" applyFont="1" applyBorder="1" applyAlignment="1">
      <alignment vertical="center" wrapText="1"/>
      <protection/>
    </xf>
    <xf numFmtId="164" fontId="4" fillId="33" borderId="32" xfId="52" applyNumberFormat="1" applyFont="1" applyFill="1" applyBorder="1" applyAlignment="1">
      <alignment horizontal="center" vertical="center" wrapText="1"/>
      <protection/>
    </xf>
    <xf numFmtId="164" fontId="4" fillId="33" borderId="33" xfId="52" applyNumberFormat="1" applyFont="1" applyFill="1" applyBorder="1" applyAlignment="1">
      <alignment horizontal="center" vertical="center" wrapText="1"/>
      <protection/>
    </xf>
    <xf numFmtId="49" fontId="5" fillId="0" borderId="16" xfId="52" applyNumberFormat="1" applyFont="1" applyBorder="1" applyAlignment="1">
      <alignment vertical="center" wrapText="1"/>
      <protection/>
    </xf>
    <xf numFmtId="49" fontId="5" fillId="0" borderId="12" xfId="52" applyNumberFormat="1" applyFont="1" applyBorder="1" applyAlignment="1">
      <alignment vertical="center" wrapText="1"/>
      <protection/>
    </xf>
    <xf numFmtId="164" fontId="4" fillId="0" borderId="33" xfId="53" applyNumberFormat="1" applyFont="1" applyFill="1" applyBorder="1" applyAlignment="1">
      <alignment horizontal="center" vertical="center" wrapText="1"/>
      <protection/>
    </xf>
    <xf numFmtId="164" fontId="4" fillId="0" borderId="31" xfId="53" applyNumberFormat="1" applyFont="1" applyFill="1" applyBorder="1" applyAlignment="1">
      <alignment horizontal="center" vertical="center" wrapText="1"/>
      <protection/>
    </xf>
    <xf numFmtId="4" fontId="5" fillId="33" borderId="15" xfId="52" applyNumberFormat="1" applyFont="1" applyFill="1" applyBorder="1" applyAlignment="1">
      <alignment vertical="center" wrapText="1"/>
      <protection/>
    </xf>
    <xf numFmtId="4" fontId="5" fillId="33" borderId="27" xfId="52" applyNumberFormat="1" applyFont="1" applyFill="1" applyBorder="1" applyAlignment="1">
      <alignment vertical="center" wrapText="1"/>
      <protection/>
    </xf>
    <xf numFmtId="4" fontId="5" fillId="33" borderId="14" xfId="52" applyNumberFormat="1" applyFont="1" applyFill="1" applyBorder="1" applyAlignment="1">
      <alignment vertical="center" wrapText="1"/>
      <protection/>
    </xf>
    <xf numFmtId="164" fontId="4" fillId="0" borderId="15" xfId="53" applyNumberFormat="1" applyFont="1" applyFill="1" applyBorder="1" applyAlignment="1">
      <alignment horizontal="left" vertical="center" wrapText="1"/>
      <protection/>
    </xf>
    <xf numFmtId="164" fontId="4" fillId="0" borderId="27" xfId="53" applyNumberFormat="1" applyFont="1" applyFill="1" applyBorder="1" applyAlignment="1">
      <alignment horizontal="left" vertical="center" wrapText="1"/>
      <protection/>
    </xf>
    <xf numFmtId="164" fontId="4" fillId="0" borderId="14" xfId="53" applyNumberFormat="1" applyFont="1" applyFill="1" applyBorder="1" applyAlignment="1">
      <alignment horizontal="left" vertical="center" wrapText="1"/>
      <protection/>
    </xf>
    <xf numFmtId="164" fontId="4" fillId="33" borderId="15" xfId="53" applyNumberFormat="1" applyFont="1" applyFill="1" applyBorder="1" applyAlignment="1">
      <alignment vertical="center" wrapText="1"/>
      <protection/>
    </xf>
    <xf numFmtId="164" fontId="4" fillId="33" borderId="27" xfId="53" applyNumberFormat="1" applyFont="1" applyFill="1" applyBorder="1" applyAlignment="1">
      <alignment vertical="center" wrapText="1"/>
      <protection/>
    </xf>
    <xf numFmtId="164" fontId="4" fillId="33" borderId="14" xfId="53" applyNumberFormat="1" applyFont="1" applyFill="1" applyBorder="1" applyAlignment="1">
      <alignment vertical="center" wrapText="1"/>
      <protection/>
    </xf>
    <xf numFmtId="164" fontId="4" fillId="33" borderId="32" xfId="53" applyNumberFormat="1" applyFont="1" applyFill="1" applyBorder="1" applyAlignment="1">
      <alignment vertical="center" wrapText="1"/>
      <protection/>
    </xf>
    <xf numFmtId="164" fontId="4" fillId="33" borderId="25" xfId="53" applyNumberFormat="1" applyFont="1" applyFill="1" applyBorder="1" applyAlignment="1">
      <alignment vertical="center" wrapText="1"/>
      <protection/>
    </xf>
    <xf numFmtId="164" fontId="4" fillId="33" borderId="22" xfId="53" applyNumberFormat="1" applyFont="1" applyFill="1" applyBorder="1" applyAlignment="1">
      <alignment vertical="center" wrapText="1"/>
      <protection/>
    </xf>
    <xf numFmtId="164" fontId="4" fillId="0" borderId="34" xfId="53" applyNumberFormat="1" applyFont="1" applyFill="1" applyBorder="1" applyAlignment="1">
      <alignment horizontal="left" vertical="center" wrapText="1"/>
      <protection/>
    </xf>
    <xf numFmtId="164" fontId="4" fillId="0" borderId="35" xfId="53" applyNumberFormat="1" applyFont="1" applyFill="1" applyBorder="1" applyAlignment="1">
      <alignment horizontal="left" vertical="center" wrapText="1"/>
      <protection/>
    </xf>
    <xf numFmtId="164" fontId="4" fillId="0" borderId="36" xfId="53" applyNumberFormat="1" applyFont="1" applyFill="1" applyBorder="1" applyAlignment="1">
      <alignment horizontal="left" vertical="center" wrapText="1"/>
      <protection/>
    </xf>
    <xf numFmtId="0" fontId="4" fillId="33" borderId="32" xfId="52" applyFont="1" applyFill="1" applyBorder="1" applyAlignment="1">
      <alignment horizontal="center" vertical="center" wrapText="1"/>
      <protection/>
    </xf>
    <xf numFmtId="0" fontId="4" fillId="33" borderId="25" xfId="52" applyFont="1" applyFill="1" applyBorder="1" applyAlignment="1">
      <alignment horizontal="center" vertical="center" wrapText="1"/>
      <protection/>
    </xf>
    <xf numFmtId="0" fontId="4" fillId="33" borderId="22" xfId="52" applyFont="1" applyFill="1" applyBorder="1" applyAlignment="1">
      <alignment horizontal="center" vertical="center" wrapText="1"/>
      <protection/>
    </xf>
    <xf numFmtId="0" fontId="4" fillId="33" borderId="33" xfId="52" applyFont="1" applyFill="1" applyBorder="1" applyAlignment="1">
      <alignment horizontal="center" vertical="center" wrapText="1"/>
      <protection/>
    </xf>
    <xf numFmtId="0" fontId="4" fillId="33" borderId="31" xfId="52" applyFont="1" applyFill="1" applyBorder="1" applyAlignment="1">
      <alignment horizontal="center" vertical="center" wrapText="1"/>
      <protection/>
    </xf>
    <xf numFmtId="0" fontId="4" fillId="33" borderId="23" xfId="52" applyFont="1" applyFill="1" applyBorder="1" applyAlignment="1">
      <alignment horizontal="center" vertical="center" wrapText="1"/>
      <protection/>
    </xf>
    <xf numFmtId="0" fontId="4" fillId="33" borderId="15" xfId="52" applyFont="1" applyFill="1" applyBorder="1" applyAlignment="1">
      <alignment horizontal="center" vertical="center" wrapText="1"/>
      <protection/>
    </xf>
    <xf numFmtId="0" fontId="4" fillId="33" borderId="27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 wrapText="1"/>
      <protection/>
    </xf>
    <xf numFmtId="4" fontId="4" fillId="33" borderId="15" xfId="52" applyNumberFormat="1" applyFont="1" applyFill="1" applyBorder="1" applyAlignment="1">
      <alignment vertical="center" wrapText="1"/>
      <protection/>
    </xf>
    <xf numFmtId="4" fontId="4" fillId="33" borderId="27" xfId="52" applyNumberFormat="1" applyFont="1" applyFill="1" applyBorder="1" applyAlignment="1">
      <alignment vertical="center" wrapText="1"/>
      <protection/>
    </xf>
    <xf numFmtId="4" fontId="4" fillId="33" borderId="14" xfId="52" applyNumberFormat="1" applyFont="1" applyFill="1" applyBorder="1" applyAlignment="1">
      <alignment vertical="center" wrapText="1"/>
      <protection/>
    </xf>
    <xf numFmtId="0" fontId="4" fillId="0" borderId="32" xfId="55" applyFont="1" applyBorder="1" applyAlignment="1">
      <alignment vertical="center" wrapText="1"/>
      <protection/>
    </xf>
    <xf numFmtId="0" fontId="4" fillId="0" borderId="25" xfId="55" applyFont="1" applyBorder="1" applyAlignment="1">
      <alignment vertical="center" wrapText="1"/>
      <protection/>
    </xf>
    <xf numFmtId="0" fontId="4" fillId="0" borderId="25" xfId="55" applyFont="1" applyBorder="1" applyAlignment="1">
      <alignment horizontal="center" vertical="center" wrapText="1"/>
      <protection/>
    </xf>
    <xf numFmtId="0" fontId="4" fillId="0" borderId="22" xfId="55" applyFont="1" applyBorder="1" applyAlignment="1">
      <alignment horizontal="center" vertical="center" wrapText="1"/>
      <protection/>
    </xf>
    <xf numFmtId="0" fontId="4" fillId="0" borderId="32" xfId="55" applyFont="1" applyBorder="1" applyAlignment="1">
      <alignment horizontal="center" vertical="center" wrapText="1"/>
      <protection/>
    </xf>
    <xf numFmtId="0" fontId="4" fillId="0" borderId="33" xfId="55" applyFont="1" applyBorder="1" applyAlignment="1">
      <alignment horizontal="center" vertical="center" wrapText="1"/>
      <protection/>
    </xf>
    <xf numFmtId="0" fontId="4" fillId="0" borderId="31" xfId="55" applyFont="1" applyBorder="1" applyAlignment="1">
      <alignment horizontal="center" vertical="center" wrapText="1"/>
      <protection/>
    </xf>
    <xf numFmtId="0" fontId="4" fillId="0" borderId="23" xfId="55" applyFont="1" applyBorder="1" applyAlignment="1">
      <alignment horizontal="center"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4" fillId="7" borderId="0" xfId="55" applyFont="1" applyFill="1" applyAlignment="1">
      <alignment horizontal="center" vertical="center" wrapText="1"/>
      <protection/>
    </xf>
    <xf numFmtId="0" fontId="4" fillId="13" borderId="37" xfId="55" applyFont="1" applyFill="1" applyBorder="1" applyAlignment="1">
      <alignment horizontal="left" vertical="center" wrapText="1"/>
      <protection/>
    </xf>
    <xf numFmtId="0" fontId="4" fillId="0" borderId="15" xfId="55" applyFont="1" applyBorder="1" applyAlignment="1">
      <alignment vertical="center" wrapText="1"/>
      <protection/>
    </xf>
    <xf numFmtId="0" fontId="5" fillId="33" borderId="14" xfId="55" applyFont="1" applyFill="1" applyBorder="1" applyAlignment="1">
      <alignment vertical="center" wrapText="1"/>
      <protection/>
    </xf>
    <xf numFmtId="0" fontId="5" fillId="0" borderId="15" xfId="55" applyFont="1" applyBorder="1" applyAlignment="1">
      <alignment horizontal="right" vertical="center" wrapText="1"/>
      <protection/>
    </xf>
    <xf numFmtId="0" fontId="5" fillId="0" borderId="27" xfId="55" applyFont="1" applyBorder="1" applyAlignment="1">
      <alignment horizontal="right" vertical="center" wrapText="1"/>
      <protection/>
    </xf>
    <xf numFmtId="0" fontId="5" fillId="0" borderId="14" xfId="55" applyFont="1" applyBorder="1" applyAlignment="1">
      <alignment horizontal="right" vertical="center" wrapText="1"/>
      <protection/>
    </xf>
    <xf numFmtId="164" fontId="4" fillId="0" borderId="15" xfId="52" applyNumberFormat="1" applyFont="1" applyFill="1" applyBorder="1" applyAlignment="1">
      <alignment vertical="center" wrapText="1"/>
      <protection/>
    </xf>
    <xf numFmtId="164" fontId="4" fillId="0" borderId="27" xfId="52" applyNumberFormat="1" applyFont="1" applyFill="1" applyBorder="1" applyAlignment="1">
      <alignment vertical="center" wrapText="1"/>
      <protection/>
    </xf>
    <xf numFmtId="164" fontId="4" fillId="0" borderId="14" xfId="52" applyNumberFormat="1" applyFont="1" applyFill="1" applyBorder="1" applyAlignment="1">
      <alignment vertical="center" wrapText="1"/>
      <protection/>
    </xf>
    <xf numFmtId="0" fontId="4" fillId="0" borderId="25" xfId="52" applyFont="1" applyBorder="1" applyAlignment="1">
      <alignment horizontal="center" vertical="center" wrapText="1"/>
      <protection/>
    </xf>
    <xf numFmtId="164" fontId="5" fillId="33" borderId="15" xfId="53" applyNumberFormat="1" applyFont="1" applyFill="1" applyBorder="1" applyAlignment="1">
      <alignment vertical="center" wrapText="1"/>
      <protection/>
    </xf>
    <xf numFmtId="164" fontId="5" fillId="33" borderId="27" xfId="53" applyNumberFormat="1" applyFont="1" applyFill="1" applyBorder="1" applyAlignment="1">
      <alignment vertical="center" wrapText="1"/>
      <protection/>
    </xf>
    <xf numFmtId="164" fontId="5" fillId="33" borderId="14" xfId="53" applyNumberFormat="1" applyFont="1" applyFill="1" applyBorder="1" applyAlignment="1">
      <alignment vertical="center" wrapText="1"/>
      <protection/>
    </xf>
    <xf numFmtId="0" fontId="8" fillId="34" borderId="15" xfId="53" applyFont="1" applyFill="1" applyBorder="1" applyAlignment="1">
      <alignment horizontal="left" vertical="center" wrapText="1"/>
      <protection/>
    </xf>
    <xf numFmtId="0" fontId="8" fillId="34" borderId="27" xfId="53" applyFont="1" applyFill="1" applyBorder="1" applyAlignment="1">
      <alignment horizontal="left" vertical="center" wrapText="1"/>
      <protection/>
    </xf>
    <xf numFmtId="0" fontId="8" fillId="34" borderId="14" xfId="53" applyFont="1" applyFill="1" applyBorder="1" applyAlignment="1">
      <alignment horizontal="left" vertical="center" wrapText="1"/>
      <protection/>
    </xf>
    <xf numFmtId="0" fontId="5" fillId="34" borderId="15" xfId="53" applyFont="1" applyFill="1" applyBorder="1" applyAlignment="1">
      <alignment horizontal="left"/>
      <protection/>
    </xf>
    <xf numFmtId="0" fontId="5" fillId="34" borderId="27" xfId="53" applyFont="1" applyFill="1" applyBorder="1" applyAlignment="1">
      <alignment horizontal="left"/>
      <protection/>
    </xf>
    <xf numFmtId="0" fontId="10" fillId="34" borderId="15" xfId="53" applyFont="1" applyFill="1" applyBorder="1" applyAlignment="1">
      <alignment vertical="center" wrapText="1"/>
      <protection/>
    </xf>
    <xf numFmtId="0" fontId="10" fillId="34" borderId="27" xfId="53" applyFont="1" applyFill="1" applyBorder="1" applyAlignment="1">
      <alignment vertical="center" wrapText="1"/>
      <protection/>
    </xf>
    <xf numFmtId="0" fontId="10" fillId="34" borderId="14" xfId="53" applyFont="1" applyFill="1" applyBorder="1" applyAlignment="1">
      <alignment vertical="center" wrapText="1"/>
      <protection/>
    </xf>
    <xf numFmtId="49" fontId="4" fillId="0" borderId="15" xfId="52" applyNumberFormat="1" applyFont="1" applyFill="1" applyBorder="1" applyAlignment="1">
      <alignment horizontal="left" vertical="center" wrapText="1"/>
      <protection/>
    </xf>
    <xf numFmtId="49" fontId="4" fillId="0" borderId="27" xfId="52" applyNumberFormat="1" applyFont="1" applyFill="1" applyBorder="1" applyAlignment="1">
      <alignment horizontal="left" vertical="center" wrapText="1"/>
      <protection/>
    </xf>
    <xf numFmtId="49" fontId="4" fillId="0" borderId="14" xfId="52" applyNumberFormat="1" applyFont="1" applyFill="1" applyBorder="1" applyAlignment="1">
      <alignment horizontal="left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27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34" borderId="15" xfId="53" applyFont="1" applyFill="1" applyBorder="1" applyAlignment="1">
      <alignment horizontal="right" wrapText="1"/>
      <protection/>
    </xf>
    <xf numFmtId="0" fontId="5" fillId="34" borderId="27" xfId="53" applyFont="1" applyFill="1" applyBorder="1" applyAlignment="1">
      <alignment horizontal="right" wrapText="1"/>
      <protection/>
    </xf>
    <xf numFmtId="0" fontId="5" fillId="34" borderId="14" xfId="53" applyFont="1" applyFill="1" applyBorder="1" applyAlignment="1">
      <alignment horizontal="right" wrapText="1"/>
      <protection/>
    </xf>
    <xf numFmtId="164" fontId="4" fillId="0" borderId="38" xfId="53" applyNumberFormat="1" applyFont="1" applyFill="1" applyBorder="1" applyAlignment="1">
      <alignment horizontal="left" vertical="center" wrapText="1"/>
      <protection/>
    </xf>
    <xf numFmtId="164" fontId="4" fillId="0" borderId="37" xfId="53" applyNumberFormat="1" applyFont="1" applyFill="1" applyBorder="1" applyAlignment="1">
      <alignment horizontal="left" vertical="center" wrapText="1"/>
      <protection/>
    </xf>
    <xf numFmtId="164" fontId="4" fillId="0" borderId="39" xfId="53" applyNumberFormat="1" applyFont="1" applyFill="1" applyBorder="1" applyAlignment="1">
      <alignment horizontal="left" vertical="center" wrapText="1"/>
      <protection/>
    </xf>
    <xf numFmtId="0" fontId="5" fillId="7" borderId="0" xfId="55" applyFont="1" applyFill="1" applyAlignment="1">
      <alignment horizontal="center" vertical="center" wrapText="1"/>
      <protection/>
    </xf>
    <xf numFmtId="0" fontId="5" fillId="13" borderId="37" xfId="55" applyFont="1" applyFill="1" applyBorder="1" applyAlignment="1">
      <alignment horizontal="left" vertical="center" wrapText="1"/>
      <protection/>
    </xf>
    <xf numFmtId="0" fontId="5" fillId="0" borderId="27" xfId="55" applyFont="1" applyBorder="1" applyAlignment="1">
      <alignment horizontal="center" vertical="center" wrapText="1"/>
      <protection/>
    </xf>
    <xf numFmtId="0" fontId="5" fillId="0" borderId="15" xfId="55" applyFont="1" applyBorder="1" applyAlignment="1">
      <alignment vertical="center" wrapText="1"/>
      <protection/>
    </xf>
    <xf numFmtId="0" fontId="5" fillId="0" borderId="27" xfId="55" applyFont="1" applyBorder="1" applyAlignment="1">
      <alignment vertical="center" wrapText="1"/>
      <protection/>
    </xf>
    <xf numFmtId="0" fontId="5" fillId="0" borderId="14" xfId="55" applyFont="1" applyBorder="1" applyAlignment="1">
      <alignment vertical="center" wrapText="1"/>
      <protection/>
    </xf>
    <xf numFmtId="164" fontId="5" fillId="0" borderId="15" xfId="52" applyNumberFormat="1" applyFont="1" applyFill="1" applyBorder="1" applyAlignment="1">
      <alignment vertical="center" wrapText="1"/>
      <protection/>
    </xf>
    <xf numFmtId="164" fontId="5" fillId="0" borderId="27" xfId="52" applyNumberFormat="1" applyFont="1" applyFill="1" applyBorder="1" applyAlignment="1">
      <alignment vertical="center" wrapText="1"/>
      <protection/>
    </xf>
    <xf numFmtId="164" fontId="5" fillId="0" borderId="14" xfId="52" applyNumberFormat="1" applyFont="1" applyFill="1" applyBorder="1" applyAlignment="1">
      <alignment vertical="center" wrapText="1"/>
      <protection/>
    </xf>
    <xf numFmtId="0" fontId="5" fillId="0" borderId="27" xfId="52" applyFont="1" applyBorder="1" applyAlignment="1">
      <alignment horizontal="center" vertical="center" wrapText="1"/>
      <protection/>
    </xf>
    <xf numFmtId="0" fontId="5" fillId="0" borderId="25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 vertical="center" wrapText="1"/>
      <protection/>
    </xf>
    <xf numFmtId="0" fontId="5" fillId="0" borderId="14" xfId="55" applyFont="1" applyBorder="1" applyAlignment="1">
      <alignment horizontal="center" vertical="center" wrapText="1"/>
      <protection/>
    </xf>
    <xf numFmtId="0" fontId="5" fillId="0" borderId="16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49" fontId="5" fillId="0" borderId="15" xfId="52" applyNumberFormat="1" applyFont="1" applyFill="1" applyBorder="1" applyAlignment="1">
      <alignment horizontal="center" vertical="center" wrapText="1"/>
      <protection/>
    </xf>
    <xf numFmtId="49" fontId="5" fillId="0" borderId="27" xfId="52" applyNumberFormat="1" applyFont="1" applyFill="1" applyBorder="1" applyAlignment="1">
      <alignment horizontal="center" vertical="center" wrapText="1"/>
      <protection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33" borderId="32" xfId="52" applyFont="1" applyFill="1" applyBorder="1" applyAlignment="1">
      <alignment horizontal="center" vertical="center" wrapText="1"/>
      <protection/>
    </xf>
    <xf numFmtId="0" fontId="5" fillId="33" borderId="25" xfId="52" applyFont="1" applyFill="1" applyBorder="1" applyAlignment="1">
      <alignment horizontal="center" vertical="center" wrapText="1"/>
      <protection/>
    </xf>
    <xf numFmtId="0" fontId="5" fillId="33" borderId="22" xfId="52" applyFont="1" applyFill="1" applyBorder="1" applyAlignment="1">
      <alignment horizontal="center" vertical="center" wrapText="1"/>
      <protection/>
    </xf>
    <xf numFmtId="0" fontId="5" fillId="33" borderId="33" xfId="52" applyFont="1" applyFill="1" applyBorder="1" applyAlignment="1">
      <alignment horizontal="center" vertical="center" wrapText="1"/>
      <protection/>
    </xf>
    <xf numFmtId="0" fontId="5" fillId="33" borderId="31" xfId="52" applyFont="1" applyFill="1" applyBorder="1" applyAlignment="1">
      <alignment horizontal="center" vertical="center" wrapText="1"/>
      <protection/>
    </xf>
    <xf numFmtId="0" fontId="5" fillId="33" borderId="23" xfId="52" applyFont="1" applyFill="1" applyBorder="1" applyAlignment="1">
      <alignment horizontal="center" vertical="center" wrapText="1"/>
      <protection/>
    </xf>
    <xf numFmtId="0" fontId="5" fillId="0" borderId="32" xfId="55" applyFont="1" applyBorder="1" applyAlignment="1">
      <alignment vertical="center" wrapText="1"/>
      <protection/>
    </xf>
    <xf numFmtId="0" fontId="5" fillId="0" borderId="25" xfId="55" applyFont="1" applyBorder="1" applyAlignment="1">
      <alignment vertical="center" wrapText="1"/>
      <protection/>
    </xf>
    <xf numFmtId="0" fontId="5" fillId="0" borderId="25" xfId="55" applyFont="1" applyBorder="1" applyAlignment="1">
      <alignment horizontal="center" vertical="center" wrapText="1"/>
      <protection/>
    </xf>
    <xf numFmtId="0" fontId="5" fillId="0" borderId="22" xfId="55" applyFont="1" applyBorder="1" applyAlignment="1">
      <alignment horizontal="center" vertical="center" wrapText="1"/>
      <protection/>
    </xf>
    <xf numFmtId="164" fontId="5" fillId="0" borderId="32" xfId="52" applyNumberFormat="1" applyFont="1" applyFill="1" applyBorder="1" applyAlignment="1">
      <alignment horizontal="center" vertical="center" wrapText="1"/>
      <protection/>
    </xf>
    <xf numFmtId="164" fontId="5" fillId="0" borderId="25" xfId="52" applyNumberFormat="1" applyFont="1" applyFill="1" applyBorder="1" applyAlignment="1">
      <alignment horizontal="center" vertical="center" wrapText="1"/>
      <protection/>
    </xf>
    <xf numFmtId="164" fontId="5" fillId="0" borderId="22" xfId="52" applyNumberFormat="1" applyFont="1" applyFill="1" applyBorder="1" applyAlignment="1">
      <alignment horizontal="center" vertical="center" wrapText="1"/>
      <protection/>
    </xf>
    <xf numFmtId="164" fontId="5" fillId="0" borderId="33" xfId="52" applyNumberFormat="1" applyFont="1" applyFill="1" applyBorder="1" applyAlignment="1">
      <alignment horizontal="center" vertical="center" wrapText="1"/>
      <protection/>
    </xf>
    <xf numFmtId="164" fontId="5" fillId="0" borderId="31" xfId="52" applyNumberFormat="1" applyFont="1" applyFill="1" applyBorder="1" applyAlignment="1">
      <alignment horizontal="center" vertical="center" wrapText="1"/>
      <protection/>
    </xf>
    <xf numFmtId="164" fontId="5" fillId="0" borderId="23" xfId="52" applyNumberFormat="1" applyFont="1" applyFill="1" applyBorder="1" applyAlignment="1">
      <alignment horizontal="center" vertical="center" wrapText="1"/>
      <protection/>
    </xf>
    <xf numFmtId="0" fontId="5" fillId="0" borderId="32" xfId="55" applyFont="1" applyBorder="1" applyAlignment="1">
      <alignment horizontal="center" vertical="center" wrapText="1"/>
      <protection/>
    </xf>
    <xf numFmtId="0" fontId="5" fillId="0" borderId="33" xfId="55" applyFont="1" applyBorder="1" applyAlignment="1">
      <alignment horizontal="center" vertical="center" wrapText="1"/>
      <protection/>
    </xf>
    <xf numFmtId="0" fontId="5" fillId="0" borderId="31" xfId="55" applyFont="1" applyBorder="1" applyAlignment="1">
      <alignment horizontal="center" vertical="center" wrapText="1"/>
      <protection/>
    </xf>
    <xf numFmtId="0" fontId="5" fillId="0" borderId="23" xfId="55" applyFont="1" applyBorder="1" applyAlignment="1">
      <alignment horizontal="center" vertical="center" wrapText="1"/>
      <protection/>
    </xf>
    <xf numFmtId="164" fontId="5" fillId="0" borderId="38" xfId="53" applyNumberFormat="1" applyFont="1" applyFill="1" applyBorder="1" applyAlignment="1">
      <alignment horizontal="left" vertical="center" wrapText="1"/>
      <protection/>
    </xf>
    <xf numFmtId="164" fontId="5" fillId="0" borderId="37" xfId="53" applyNumberFormat="1" applyFont="1" applyFill="1" applyBorder="1" applyAlignment="1">
      <alignment horizontal="left" vertical="center" wrapText="1"/>
      <protection/>
    </xf>
    <xf numFmtId="164" fontId="5" fillId="0" borderId="39" xfId="53" applyNumberFormat="1" applyFont="1" applyFill="1" applyBorder="1" applyAlignment="1">
      <alignment horizontal="left" vertical="center" wrapText="1"/>
      <protection/>
    </xf>
    <xf numFmtId="164" fontId="5" fillId="0" borderId="15" xfId="53" applyNumberFormat="1" applyFont="1" applyFill="1" applyBorder="1" applyAlignment="1">
      <alignment horizontal="left" vertical="center" wrapText="1"/>
      <protection/>
    </xf>
    <xf numFmtId="164" fontId="5" fillId="0" borderId="27" xfId="53" applyNumberFormat="1" applyFont="1" applyFill="1" applyBorder="1" applyAlignment="1">
      <alignment horizontal="left" vertical="center" wrapText="1"/>
      <protection/>
    </xf>
    <xf numFmtId="164" fontId="5" fillId="0" borderId="14" xfId="53" applyNumberFormat="1" applyFont="1" applyFill="1" applyBorder="1" applyAlignment="1">
      <alignment horizontal="left" vertical="center" wrapText="1"/>
      <protection/>
    </xf>
    <xf numFmtId="164" fontId="5" fillId="33" borderId="32" xfId="53" applyNumberFormat="1" applyFont="1" applyFill="1" applyBorder="1" applyAlignment="1">
      <alignment vertical="center" wrapText="1"/>
      <protection/>
    </xf>
    <xf numFmtId="164" fontId="5" fillId="33" borderId="25" xfId="53" applyNumberFormat="1" applyFont="1" applyFill="1" applyBorder="1" applyAlignment="1">
      <alignment vertical="center" wrapText="1"/>
      <protection/>
    </xf>
    <xf numFmtId="164" fontId="5" fillId="33" borderId="22" xfId="53" applyNumberFormat="1" applyFont="1" applyFill="1" applyBorder="1" applyAlignment="1">
      <alignment vertical="center" wrapText="1"/>
      <protection/>
    </xf>
    <xf numFmtId="164" fontId="5" fillId="0" borderId="34" xfId="53" applyNumberFormat="1" applyFont="1" applyFill="1" applyBorder="1" applyAlignment="1">
      <alignment horizontal="left" vertical="center" wrapText="1"/>
      <protection/>
    </xf>
    <xf numFmtId="164" fontId="5" fillId="0" borderId="35" xfId="53" applyNumberFormat="1" applyFont="1" applyFill="1" applyBorder="1" applyAlignment="1">
      <alignment horizontal="left" vertical="center" wrapText="1"/>
      <protection/>
    </xf>
    <xf numFmtId="164" fontId="5" fillId="0" borderId="36" xfId="53" applyNumberFormat="1" applyFont="1" applyFill="1" applyBorder="1" applyAlignment="1">
      <alignment horizontal="left" vertical="center" wrapText="1"/>
      <protection/>
    </xf>
    <xf numFmtId="164" fontId="5" fillId="33" borderId="15" xfId="52" applyNumberFormat="1" applyFont="1" applyFill="1" applyBorder="1" applyAlignment="1">
      <alignment vertical="center" wrapText="1"/>
      <protection/>
    </xf>
    <xf numFmtId="164" fontId="5" fillId="33" borderId="27" xfId="52" applyNumberFormat="1" applyFont="1" applyFill="1" applyBorder="1" applyAlignment="1">
      <alignment vertical="center" wrapText="1"/>
      <protection/>
    </xf>
    <xf numFmtId="164" fontId="5" fillId="33" borderId="14" xfId="52" applyNumberFormat="1" applyFont="1" applyFill="1" applyBorder="1" applyAlignment="1">
      <alignment vertical="center" wrapText="1"/>
      <protection/>
    </xf>
    <xf numFmtId="164" fontId="5" fillId="33" borderId="32" xfId="52" applyNumberFormat="1" applyFont="1" applyFill="1" applyBorder="1" applyAlignment="1">
      <alignment horizontal="center" vertical="center" wrapText="1"/>
      <protection/>
    </xf>
    <xf numFmtId="164" fontId="5" fillId="33" borderId="25" xfId="52" applyNumberFormat="1" applyFont="1" applyFill="1" applyBorder="1" applyAlignment="1">
      <alignment horizontal="center" vertical="center" wrapText="1"/>
      <protection/>
    </xf>
    <xf numFmtId="164" fontId="5" fillId="33" borderId="22" xfId="52" applyNumberFormat="1" applyFont="1" applyFill="1" applyBorder="1" applyAlignment="1">
      <alignment horizontal="center" vertical="center" wrapText="1"/>
      <protection/>
    </xf>
    <xf numFmtId="164" fontId="5" fillId="33" borderId="33" xfId="52" applyNumberFormat="1" applyFont="1" applyFill="1" applyBorder="1" applyAlignment="1">
      <alignment horizontal="center" vertical="center" wrapText="1"/>
      <protection/>
    </xf>
    <xf numFmtId="164" fontId="5" fillId="33" borderId="31" xfId="52" applyNumberFormat="1" applyFont="1" applyFill="1" applyBorder="1" applyAlignment="1">
      <alignment horizontal="center" vertical="center" wrapText="1"/>
      <protection/>
    </xf>
    <xf numFmtId="164" fontId="5" fillId="33" borderId="23" xfId="52" applyNumberFormat="1" applyFont="1" applyFill="1" applyBorder="1" applyAlignment="1">
      <alignment horizontal="center" vertical="center" wrapText="1"/>
      <protection/>
    </xf>
    <xf numFmtId="164" fontId="5" fillId="0" borderId="16" xfId="52" applyNumberFormat="1" applyFont="1" applyFill="1" applyBorder="1" applyAlignment="1">
      <alignment horizontal="center" vertical="center" wrapText="1"/>
      <protection/>
    </xf>
    <xf numFmtId="164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left" vertical="top" wrapText="1"/>
      <protection/>
    </xf>
    <xf numFmtId="0" fontId="4" fillId="34" borderId="27" xfId="53" applyFont="1" applyFill="1" applyBorder="1" applyAlignment="1">
      <alignment horizontal="left" vertical="top" wrapText="1"/>
      <protection/>
    </xf>
    <xf numFmtId="0" fontId="4" fillId="34" borderId="14" xfId="53" applyFont="1" applyFill="1" applyBorder="1" applyAlignment="1">
      <alignment horizontal="left" vertical="top" wrapText="1"/>
      <protection/>
    </xf>
    <xf numFmtId="0" fontId="10" fillId="34" borderId="15" xfId="53" applyFont="1" applyFill="1" applyBorder="1" applyAlignment="1">
      <alignment horizontal="center" vertical="center" wrapText="1"/>
      <protection/>
    </xf>
    <xf numFmtId="0" fontId="10" fillId="34" borderId="27" xfId="53" applyFont="1" applyFill="1" applyBorder="1" applyAlignment="1">
      <alignment horizontal="center" vertical="center" wrapText="1"/>
      <protection/>
    </xf>
    <xf numFmtId="0" fontId="10" fillId="34" borderId="14" xfId="53" applyFont="1" applyFill="1" applyBorder="1" applyAlignment="1">
      <alignment horizontal="center" vertical="center" wrapText="1"/>
      <protection/>
    </xf>
    <xf numFmtId="164" fontId="5" fillId="33" borderId="32" xfId="52" applyNumberFormat="1" applyFont="1" applyFill="1" applyBorder="1" applyAlignment="1">
      <alignment horizontal="center" wrapText="1"/>
      <protection/>
    </xf>
    <xf numFmtId="164" fontId="5" fillId="33" borderId="25" xfId="52" applyNumberFormat="1" applyFont="1" applyFill="1" applyBorder="1" applyAlignment="1">
      <alignment horizontal="center" wrapText="1"/>
      <protection/>
    </xf>
    <xf numFmtId="164" fontId="5" fillId="33" borderId="22" xfId="52" applyNumberFormat="1" applyFont="1" applyFill="1" applyBorder="1" applyAlignment="1">
      <alignment horizontal="center" wrapText="1"/>
      <protection/>
    </xf>
    <xf numFmtId="164" fontId="5" fillId="33" borderId="33" xfId="52" applyNumberFormat="1" applyFont="1" applyFill="1" applyBorder="1" applyAlignment="1">
      <alignment horizontal="center" wrapText="1"/>
      <protection/>
    </xf>
    <xf numFmtId="164" fontId="5" fillId="33" borderId="31" xfId="52" applyNumberFormat="1" applyFont="1" applyFill="1" applyBorder="1" applyAlignment="1">
      <alignment horizontal="center" wrapText="1"/>
      <protection/>
    </xf>
    <xf numFmtId="164" fontId="5" fillId="33" borderId="23" xfId="52" applyNumberFormat="1" applyFont="1" applyFill="1" applyBorder="1" applyAlignment="1">
      <alignment horizontal="center" wrapText="1"/>
      <protection/>
    </xf>
    <xf numFmtId="0" fontId="8" fillId="0" borderId="16" xfId="55" applyFont="1" applyBorder="1" applyAlignment="1">
      <alignment horizontal="center" vertical="center" wrapText="1"/>
      <protection/>
    </xf>
    <xf numFmtId="0" fontId="8" fillId="0" borderId="12" xfId="55" applyFont="1" applyBorder="1" applyAlignment="1">
      <alignment horizontal="center" vertical="center" wrapText="1"/>
      <protection/>
    </xf>
    <xf numFmtId="164" fontId="8" fillId="0" borderId="32" xfId="52" applyNumberFormat="1" applyFont="1" applyFill="1" applyBorder="1" applyAlignment="1">
      <alignment horizontal="center" vertical="center" wrapText="1"/>
      <protection/>
    </xf>
    <xf numFmtId="164" fontId="8" fillId="0" borderId="25" xfId="52" applyNumberFormat="1" applyFont="1" applyFill="1" applyBorder="1" applyAlignment="1">
      <alignment horizontal="center" vertical="center" wrapText="1"/>
      <protection/>
    </xf>
    <xf numFmtId="164" fontId="8" fillId="0" borderId="22" xfId="52" applyNumberFormat="1" applyFont="1" applyFill="1" applyBorder="1" applyAlignment="1">
      <alignment horizontal="center" vertical="center" wrapText="1"/>
      <protection/>
    </xf>
    <xf numFmtId="164" fontId="8" fillId="0" borderId="33" xfId="52" applyNumberFormat="1" applyFont="1" applyFill="1" applyBorder="1" applyAlignment="1">
      <alignment horizontal="center" vertical="center" wrapText="1"/>
      <protection/>
    </xf>
    <xf numFmtId="164" fontId="8" fillId="0" borderId="31" xfId="52" applyNumberFormat="1" applyFont="1" applyFill="1" applyBorder="1" applyAlignment="1">
      <alignment horizontal="center" vertical="center" wrapText="1"/>
      <protection/>
    </xf>
    <xf numFmtId="164" fontId="8" fillId="0" borderId="23" xfId="52" applyNumberFormat="1" applyFont="1" applyFill="1" applyBorder="1" applyAlignment="1">
      <alignment horizontal="center" vertical="center" wrapText="1"/>
      <protection/>
    </xf>
    <xf numFmtId="164" fontId="8" fillId="0" borderId="16" xfId="52" applyNumberFormat="1" applyFont="1" applyFill="1" applyBorder="1" applyAlignment="1">
      <alignment horizontal="center" vertical="center" wrapText="1"/>
      <protection/>
    </xf>
    <xf numFmtId="164" fontId="8" fillId="0" borderId="12" xfId="52" applyNumberFormat="1" applyFont="1" applyFill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12" xfId="52" applyFont="1" applyBorder="1" applyAlignment="1">
      <alignment horizontal="center" vertical="center" wrapText="1"/>
      <protection/>
    </xf>
    <xf numFmtId="0" fontId="8" fillId="0" borderId="15" xfId="55" applyFont="1" applyBorder="1" applyAlignment="1">
      <alignment horizontal="center" vertical="center" wrapText="1"/>
      <protection/>
    </xf>
    <xf numFmtId="0" fontId="8" fillId="0" borderId="27" xfId="55" applyFont="1" applyBorder="1" applyAlignment="1">
      <alignment horizontal="center" vertical="center" wrapText="1"/>
      <protection/>
    </xf>
    <xf numFmtId="0" fontId="8" fillId="0" borderId="14" xfId="55" applyFont="1" applyBorder="1" applyAlignment="1">
      <alignment horizontal="center" vertical="center" wrapText="1"/>
      <protection/>
    </xf>
    <xf numFmtId="164" fontId="5" fillId="33" borderId="15" xfId="53" applyNumberFormat="1" applyFont="1" applyFill="1" applyBorder="1" applyAlignment="1">
      <alignment horizontal="left" vertical="center" wrapText="1"/>
      <protection/>
    </xf>
    <xf numFmtId="164" fontId="5" fillId="33" borderId="27" xfId="53" applyNumberFormat="1" applyFont="1" applyFill="1" applyBorder="1" applyAlignment="1">
      <alignment horizontal="left" vertical="center" wrapText="1"/>
      <protection/>
    </xf>
    <xf numFmtId="164" fontId="5" fillId="33" borderId="14" xfId="53" applyNumberFormat="1" applyFont="1" applyFill="1" applyBorder="1" applyAlignment="1">
      <alignment horizontal="left" vertical="center" wrapText="1"/>
      <protection/>
    </xf>
    <xf numFmtId="164" fontId="5" fillId="33" borderId="40" xfId="53" applyNumberFormat="1" applyFont="1" applyFill="1" applyBorder="1" applyAlignment="1">
      <alignment horizontal="left" vertical="center" wrapText="1"/>
      <protection/>
    </xf>
    <xf numFmtId="164" fontId="5" fillId="33" borderId="41" xfId="53" applyNumberFormat="1" applyFont="1" applyFill="1" applyBorder="1" applyAlignment="1">
      <alignment horizontal="left" vertical="center" wrapText="1"/>
      <protection/>
    </xf>
    <xf numFmtId="164" fontId="5" fillId="33" borderId="42" xfId="53" applyNumberFormat="1" applyFont="1" applyFill="1" applyBorder="1" applyAlignment="1">
      <alignment horizontal="left" vertical="center" wrapText="1"/>
      <protection/>
    </xf>
    <xf numFmtId="164" fontId="5" fillId="33" borderId="15" xfId="52" applyNumberFormat="1" applyFont="1" applyFill="1" applyBorder="1" applyAlignment="1">
      <alignment horizontal="left" vertical="center" wrapText="1"/>
      <protection/>
    </xf>
    <xf numFmtId="164" fontId="5" fillId="33" borderId="27" xfId="52" applyNumberFormat="1" applyFont="1" applyFill="1" applyBorder="1" applyAlignment="1">
      <alignment horizontal="left" vertical="center" wrapText="1"/>
      <protection/>
    </xf>
    <xf numFmtId="164" fontId="5" fillId="33" borderId="14" xfId="52" applyNumberFormat="1" applyFont="1" applyFill="1" applyBorder="1" applyAlignment="1">
      <alignment horizontal="left" vertical="center" wrapText="1"/>
      <protection/>
    </xf>
    <xf numFmtId="0" fontId="11" fillId="34" borderId="15" xfId="53" applyFont="1" applyFill="1" applyBorder="1" applyAlignment="1">
      <alignment horizontal="right" vertical="center" wrapText="1"/>
      <protection/>
    </xf>
    <xf numFmtId="0" fontId="11" fillId="34" borderId="27" xfId="53" applyFont="1" applyFill="1" applyBorder="1" applyAlignment="1">
      <alignment horizontal="right" vertical="center" wrapText="1"/>
      <protection/>
    </xf>
    <xf numFmtId="0" fontId="11" fillId="34" borderId="14" xfId="53" applyFont="1" applyFill="1" applyBorder="1" applyAlignment="1">
      <alignment horizontal="right" vertical="center" wrapText="1"/>
      <protection/>
    </xf>
    <xf numFmtId="0" fontId="8" fillId="34" borderId="15" xfId="53" applyFont="1" applyFill="1" applyBorder="1" applyAlignment="1">
      <alignment horizontal="right" vertical="center"/>
      <protection/>
    </xf>
    <xf numFmtId="0" fontId="8" fillId="34" borderId="27" xfId="53" applyFont="1" applyFill="1" applyBorder="1" applyAlignment="1">
      <alignment horizontal="right" vertical="center"/>
      <protection/>
    </xf>
    <xf numFmtId="0" fontId="8" fillId="34" borderId="14" xfId="53" applyFont="1" applyFill="1" applyBorder="1" applyAlignment="1">
      <alignment horizontal="right" vertical="center"/>
      <protection/>
    </xf>
    <xf numFmtId="0" fontId="5" fillId="34" borderId="15" xfId="53" applyFont="1" applyFill="1" applyBorder="1" applyAlignment="1">
      <alignment wrapText="1"/>
      <protection/>
    </xf>
    <xf numFmtId="0" fontId="5" fillId="34" borderId="27" xfId="53" applyFont="1" applyFill="1" applyBorder="1" applyAlignment="1">
      <alignment wrapText="1"/>
      <protection/>
    </xf>
    <xf numFmtId="0" fontId="5" fillId="34" borderId="14" xfId="53" applyFont="1" applyFill="1" applyBorder="1" applyAlignment="1">
      <alignment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8"/>
  <sheetViews>
    <sheetView zoomScale="90" zoomScaleNormal="90" zoomScalePageLayoutView="0" workbookViewId="0" topLeftCell="A94">
      <selection activeCell="F45" sqref="F45"/>
    </sheetView>
  </sheetViews>
  <sheetFormatPr defaultColWidth="9.140625" defaultRowHeight="15"/>
  <cols>
    <col min="1" max="1" width="4.57421875" style="0" customWidth="1"/>
    <col min="4" max="4" width="14.57421875" style="0" customWidth="1"/>
    <col min="5" max="5" width="13.421875" style="0" customWidth="1"/>
    <col min="6" max="6" width="14.140625" style="0" customWidth="1"/>
    <col min="7" max="7" width="12.00390625" style="0" customWidth="1"/>
    <col min="8" max="8" width="9.7109375" style="0" customWidth="1"/>
    <col min="9" max="9" width="10.140625" style="0" customWidth="1"/>
    <col min="10" max="10" width="11.7109375" style="0" customWidth="1"/>
    <col min="11" max="11" width="12.7109375" style="0" customWidth="1"/>
    <col min="12" max="12" width="14.7109375" style="0" customWidth="1"/>
    <col min="13" max="14" width="12.8515625" style="0" customWidth="1"/>
    <col min="15" max="15" width="8.57421875" style="0" customWidth="1"/>
    <col min="16" max="16" width="9.421875" style="0" bestFit="1" customWidth="1"/>
  </cols>
  <sheetData>
    <row r="1" spans="1:16" ht="15">
      <c r="A1" s="1"/>
      <c r="B1" s="485" t="s">
        <v>0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</row>
    <row r="2" spans="1:16" ht="15">
      <c r="A2" s="1"/>
      <c r="B2" s="486" t="s">
        <v>194</v>
      </c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</row>
    <row r="3" spans="1:16" ht="15.75" thickBot="1">
      <c r="A3" s="1"/>
      <c r="B3" s="487" t="s">
        <v>1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</row>
    <row r="4" spans="1:16" ht="15.75" thickBot="1">
      <c r="A4" s="1"/>
      <c r="B4" s="410" t="s">
        <v>2</v>
      </c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</row>
    <row r="5" spans="1:16" ht="15.75" thickBot="1">
      <c r="A5" s="2"/>
      <c r="B5" s="488" t="s">
        <v>193</v>
      </c>
      <c r="C5" s="344"/>
      <c r="D5" s="344"/>
      <c r="E5" s="345"/>
      <c r="F5" s="346"/>
      <c r="G5" s="346"/>
      <c r="H5" s="346"/>
      <c r="I5" s="346"/>
      <c r="J5" s="346"/>
      <c r="K5" s="346"/>
      <c r="L5" s="346"/>
      <c r="M5" s="346"/>
      <c r="N5" s="346"/>
      <c r="O5" s="489"/>
      <c r="P5" s="3">
        <v>365352.15</v>
      </c>
    </row>
    <row r="6" spans="1:16" ht="15.75" customHeight="1" thickBot="1">
      <c r="A6" s="2"/>
      <c r="B6" s="488" t="s">
        <v>193</v>
      </c>
      <c r="C6" s="344"/>
      <c r="D6" s="344"/>
      <c r="E6" s="345"/>
      <c r="F6" s="346"/>
      <c r="G6" s="346"/>
      <c r="H6" s="346"/>
      <c r="I6" s="346"/>
      <c r="J6" s="346"/>
      <c r="K6" s="346"/>
      <c r="L6" s="346"/>
      <c r="M6" s="346"/>
      <c r="N6" s="346"/>
      <c r="O6" s="489"/>
      <c r="P6" s="64">
        <f>P10</f>
        <v>365352.15</v>
      </c>
    </row>
    <row r="7" spans="1:16" ht="15.75" thickBot="1">
      <c r="A7" s="2"/>
      <c r="B7" s="493"/>
      <c r="C7" s="494"/>
      <c r="D7" s="494"/>
      <c r="E7" s="495"/>
      <c r="F7" s="434"/>
      <c r="G7" s="434"/>
      <c r="H7" s="434"/>
      <c r="I7" s="434"/>
      <c r="J7" s="434"/>
      <c r="K7" s="434"/>
      <c r="L7" s="434"/>
      <c r="M7" s="434"/>
      <c r="N7" s="496"/>
      <c r="O7" s="496"/>
      <c r="P7" s="435"/>
    </row>
    <row r="8" spans="1:16" ht="72" thickBot="1">
      <c r="A8" s="4"/>
      <c r="B8" s="488" t="s">
        <v>3</v>
      </c>
      <c r="C8" s="344"/>
      <c r="D8" s="344"/>
      <c r="E8" s="345"/>
      <c r="F8" s="326" t="s">
        <v>4</v>
      </c>
      <c r="G8" s="327"/>
      <c r="H8" s="5" t="s">
        <v>5</v>
      </c>
      <c r="I8" s="326" t="s">
        <v>6</v>
      </c>
      <c r="J8" s="327"/>
      <c r="K8" s="77" t="s">
        <v>7</v>
      </c>
      <c r="L8" s="5" t="s">
        <v>8</v>
      </c>
      <c r="M8" s="66" t="s">
        <v>9</v>
      </c>
      <c r="N8" s="74" t="s">
        <v>10</v>
      </c>
      <c r="O8" s="91" t="s">
        <v>11</v>
      </c>
      <c r="P8" s="19"/>
    </row>
    <row r="9" spans="1:16" ht="15.75" thickBot="1">
      <c r="A9" s="2"/>
      <c r="B9" s="490" t="s">
        <v>12</v>
      </c>
      <c r="C9" s="491"/>
      <c r="D9" s="491"/>
      <c r="E9" s="492"/>
      <c r="F9" s="330">
        <v>0</v>
      </c>
      <c r="G9" s="331"/>
      <c r="H9" s="3">
        <v>0</v>
      </c>
      <c r="I9" s="330">
        <v>0</v>
      </c>
      <c r="J9" s="331"/>
      <c r="K9" s="78">
        <v>0</v>
      </c>
      <c r="L9" s="3">
        <v>0</v>
      </c>
      <c r="M9" s="63">
        <v>0</v>
      </c>
      <c r="N9" s="3">
        <v>0</v>
      </c>
      <c r="O9" s="75">
        <v>0</v>
      </c>
      <c r="P9" s="64">
        <v>0</v>
      </c>
    </row>
    <row r="10" spans="1:16" ht="15.75" thickBot="1">
      <c r="A10" s="2"/>
      <c r="B10" s="490" t="s">
        <v>13</v>
      </c>
      <c r="C10" s="491"/>
      <c r="D10" s="491"/>
      <c r="E10" s="492"/>
      <c r="F10" s="330">
        <v>155720.93</v>
      </c>
      <c r="G10" s="331"/>
      <c r="H10" s="3">
        <v>0</v>
      </c>
      <c r="I10" s="330">
        <v>17432</v>
      </c>
      <c r="J10" s="331"/>
      <c r="K10" s="78">
        <v>0</v>
      </c>
      <c r="L10" s="3">
        <v>157207.1</v>
      </c>
      <c r="M10" s="63">
        <v>0</v>
      </c>
      <c r="N10" s="3">
        <v>0</v>
      </c>
      <c r="O10" s="3">
        <v>34992.12</v>
      </c>
      <c r="P10" s="92">
        <f>SUM(F10:O10)</f>
        <v>365352.15</v>
      </c>
    </row>
    <row r="11" spans="1:16" ht="15.75" thickBot="1">
      <c r="A11" s="71"/>
      <c r="B11" s="477"/>
      <c r="C11" s="478"/>
      <c r="D11" s="478"/>
      <c r="E11" s="478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480"/>
    </row>
    <row r="12" spans="1:16" ht="15">
      <c r="A12" s="442"/>
      <c r="B12" s="400" t="s">
        <v>14</v>
      </c>
      <c r="C12" s="401"/>
      <c r="D12" s="401"/>
      <c r="E12" s="402"/>
      <c r="F12" s="393"/>
      <c r="G12" s="481" t="s">
        <v>15</v>
      </c>
      <c r="H12" s="479"/>
      <c r="I12" s="479"/>
      <c r="J12" s="479"/>
      <c r="K12" s="480"/>
      <c r="L12" s="393" t="s">
        <v>16</v>
      </c>
      <c r="M12" s="393" t="s">
        <v>17</v>
      </c>
      <c r="N12" s="393" t="s">
        <v>18</v>
      </c>
      <c r="O12" s="393" t="s">
        <v>19</v>
      </c>
      <c r="P12" s="393" t="s">
        <v>20</v>
      </c>
    </row>
    <row r="13" spans="1:16" ht="15.75" thickBot="1">
      <c r="A13" s="443"/>
      <c r="B13" s="403"/>
      <c r="C13" s="404"/>
      <c r="D13" s="404"/>
      <c r="E13" s="405"/>
      <c r="F13" s="394"/>
      <c r="G13" s="482"/>
      <c r="H13" s="483"/>
      <c r="I13" s="483"/>
      <c r="J13" s="483"/>
      <c r="K13" s="484"/>
      <c r="L13" s="394"/>
      <c r="M13" s="394"/>
      <c r="N13" s="394"/>
      <c r="O13" s="394"/>
      <c r="P13" s="394"/>
    </row>
    <row r="14" spans="1:16" ht="15.75" thickBot="1">
      <c r="A14" s="6"/>
      <c r="B14" s="350" t="s">
        <v>21</v>
      </c>
      <c r="C14" s="351"/>
      <c r="D14" s="352"/>
      <c r="E14" s="7" t="s">
        <v>22</v>
      </c>
      <c r="F14" s="70">
        <v>3</v>
      </c>
      <c r="G14" s="433">
        <v>4</v>
      </c>
      <c r="H14" s="434"/>
      <c r="I14" s="434"/>
      <c r="J14" s="435"/>
      <c r="K14" s="90">
        <v>5</v>
      </c>
      <c r="L14" s="69">
        <v>6</v>
      </c>
      <c r="M14" s="5">
        <v>7</v>
      </c>
      <c r="N14" s="69">
        <v>8</v>
      </c>
      <c r="O14" s="69">
        <v>9</v>
      </c>
      <c r="P14" s="5">
        <v>10</v>
      </c>
    </row>
    <row r="15" spans="1:16" ht="29.25" thickBot="1">
      <c r="A15" s="442"/>
      <c r="B15" s="465" t="s">
        <v>23</v>
      </c>
      <c r="C15" s="466"/>
      <c r="D15" s="467"/>
      <c r="E15" s="8" t="s">
        <v>24</v>
      </c>
      <c r="F15" s="8" t="s">
        <v>25</v>
      </c>
      <c r="G15" s="471" t="s">
        <v>26</v>
      </c>
      <c r="H15" s="472"/>
      <c r="I15" s="472"/>
      <c r="J15" s="473"/>
      <c r="K15" s="79" t="s">
        <v>27</v>
      </c>
      <c r="L15" s="9" t="s">
        <v>26</v>
      </c>
      <c r="M15" s="10" t="s">
        <v>28</v>
      </c>
      <c r="N15" s="10" t="s">
        <v>26</v>
      </c>
      <c r="O15" s="10" t="s">
        <v>26</v>
      </c>
      <c r="P15" s="11" t="s">
        <v>26</v>
      </c>
    </row>
    <row r="16" spans="1:16" ht="15.75" thickBot="1">
      <c r="A16" s="443"/>
      <c r="B16" s="468"/>
      <c r="C16" s="469"/>
      <c r="D16" s="470"/>
      <c r="E16" s="109">
        <f>SUM(E17:E23)</f>
        <v>1852813</v>
      </c>
      <c r="F16" s="110">
        <f>SUM(F17:F23)</f>
        <v>1852813</v>
      </c>
      <c r="G16" s="474">
        <f>SUM(G17:J23)</f>
        <v>1381807.4300000002</v>
      </c>
      <c r="H16" s="475"/>
      <c r="I16" s="475"/>
      <c r="J16" s="476"/>
      <c r="K16" s="129">
        <f>SUM(K17:K23)</f>
        <v>1381807.4300000002</v>
      </c>
      <c r="L16" s="129">
        <f>SUM(L17:L23)</f>
        <v>1381807.4300000002</v>
      </c>
      <c r="M16" s="129">
        <f>SUM(M17:M23)</f>
        <v>471005.57</v>
      </c>
      <c r="N16" s="129">
        <f>SUM(N17:N23)</f>
        <v>471005.57</v>
      </c>
      <c r="O16" s="12">
        <v>0</v>
      </c>
      <c r="P16" s="12">
        <v>0</v>
      </c>
    </row>
    <row r="17" spans="1:18" ht="48.75" customHeight="1" thickBot="1">
      <c r="A17" s="100" t="s">
        <v>195</v>
      </c>
      <c r="B17" s="456" t="s">
        <v>146</v>
      </c>
      <c r="C17" s="457"/>
      <c r="D17" s="458"/>
      <c r="E17" s="108">
        <v>1204989</v>
      </c>
      <c r="F17" s="108">
        <f>0+E17</f>
        <v>1204989</v>
      </c>
      <c r="G17" s="450">
        <v>522087.89</v>
      </c>
      <c r="H17" s="451"/>
      <c r="I17" s="451"/>
      <c r="J17" s="452"/>
      <c r="K17" s="80">
        <f aca="true" t="shared" si="0" ref="K17:K23">G17</f>
        <v>522087.89</v>
      </c>
      <c r="L17" s="15">
        <f>0+K17</f>
        <v>522087.89</v>
      </c>
      <c r="M17" s="119">
        <f>E17-K17</f>
        <v>682901.11</v>
      </c>
      <c r="N17" s="124">
        <f>F17-L17</f>
        <v>682901.11</v>
      </c>
      <c r="O17" s="16">
        <v>0</v>
      </c>
      <c r="P17" s="16">
        <v>0</v>
      </c>
      <c r="Q17" s="1"/>
      <c r="R17" s="18">
        <v>365352.1499999948</v>
      </c>
    </row>
    <row r="18" spans="1:18" ht="51" customHeight="1" thickBot="1">
      <c r="A18" s="101" t="s">
        <v>196</v>
      </c>
      <c r="B18" s="459" t="s">
        <v>29</v>
      </c>
      <c r="C18" s="460"/>
      <c r="D18" s="461"/>
      <c r="E18" s="104">
        <v>637524</v>
      </c>
      <c r="F18" s="108">
        <f>0+E18</f>
        <v>637524</v>
      </c>
      <c r="G18" s="450">
        <v>612024</v>
      </c>
      <c r="H18" s="451"/>
      <c r="I18" s="451"/>
      <c r="J18" s="452"/>
      <c r="K18" s="80">
        <f t="shared" si="0"/>
        <v>612024</v>
      </c>
      <c r="L18" s="15">
        <f aca="true" t="shared" si="1" ref="L18:L23">0+K18</f>
        <v>612024</v>
      </c>
      <c r="M18" s="119">
        <f aca="true" t="shared" si="2" ref="M18:M23">E18-K18</f>
        <v>25500</v>
      </c>
      <c r="N18" s="124">
        <f aca="true" t="shared" si="3" ref="N18:N23">F18-L18</f>
        <v>25500</v>
      </c>
      <c r="O18" s="16">
        <v>0</v>
      </c>
      <c r="P18" s="16">
        <v>0</v>
      </c>
      <c r="Q18" s="1"/>
      <c r="R18" s="1"/>
    </row>
    <row r="19" spans="1:18" ht="39.75" customHeight="1" thickBot="1">
      <c r="A19" s="101" t="s">
        <v>197</v>
      </c>
      <c r="B19" s="462" t="s">
        <v>149</v>
      </c>
      <c r="C19" s="463"/>
      <c r="D19" s="464"/>
      <c r="E19" s="105"/>
      <c r="F19" s="108">
        <f>0+E19</f>
        <v>0</v>
      </c>
      <c r="G19" s="450">
        <v>117320</v>
      </c>
      <c r="H19" s="451"/>
      <c r="I19" s="451"/>
      <c r="J19" s="452"/>
      <c r="K19" s="80">
        <f t="shared" si="0"/>
        <v>117320</v>
      </c>
      <c r="L19" s="15">
        <f t="shared" si="1"/>
        <v>117320</v>
      </c>
      <c r="M19" s="119">
        <f t="shared" si="2"/>
        <v>-117320</v>
      </c>
      <c r="N19" s="124">
        <f t="shared" si="3"/>
        <v>-117320</v>
      </c>
      <c r="O19" s="16">
        <v>0</v>
      </c>
      <c r="P19" s="17">
        <v>0</v>
      </c>
      <c r="Q19" s="1"/>
      <c r="R19" s="1"/>
    </row>
    <row r="20" spans="1:18" ht="58.5" customHeight="1" thickBot="1">
      <c r="A20" s="102" t="s">
        <v>198</v>
      </c>
      <c r="B20" s="448" t="s">
        <v>147</v>
      </c>
      <c r="C20" s="449"/>
      <c r="D20" s="449"/>
      <c r="E20" s="106"/>
      <c r="F20" s="108">
        <f>0+E20</f>
        <v>0</v>
      </c>
      <c r="G20" s="450"/>
      <c r="H20" s="451"/>
      <c r="I20" s="451"/>
      <c r="J20" s="452"/>
      <c r="K20" s="80">
        <f t="shared" si="0"/>
        <v>0</v>
      </c>
      <c r="L20" s="15">
        <f t="shared" si="1"/>
        <v>0</v>
      </c>
      <c r="M20" s="119">
        <f t="shared" si="2"/>
        <v>0</v>
      </c>
      <c r="N20" s="124">
        <f t="shared" si="3"/>
        <v>0</v>
      </c>
      <c r="O20" s="16">
        <v>0</v>
      </c>
      <c r="P20" s="16">
        <v>0</v>
      </c>
      <c r="Q20" s="18"/>
      <c r="R20" s="18"/>
    </row>
    <row r="21" spans="1:18" ht="54" customHeight="1" thickBot="1">
      <c r="A21" s="103" t="s">
        <v>199</v>
      </c>
      <c r="B21" s="453" t="s">
        <v>148</v>
      </c>
      <c r="C21" s="454"/>
      <c r="D21" s="455"/>
      <c r="E21" s="107"/>
      <c r="F21" s="108">
        <f>0+E21</f>
        <v>0</v>
      </c>
      <c r="G21" s="450"/>
      <c r="H21" s="451"/>
      <c r="I21" s="451"/>
      <c r="J21" s="452"/>
      <c r="K21" s="80">
        <f t="shared" si="0"/>
        <v>0</v>
      </c>
      <c r="L21" s="15">
        <f t="shared" si="1"/>
        <v>0</v>
      </c>
      <c r="M21" s="119">
        <f t="shared" si="2"/>
        <v>0</v>
      </c>
      <c r="N21" s="124">
        <f t="shared" si="3"/>
        <v>0</v>
      </c>
      <c r="O21" s="16">
        <v>0</v>
      </c>
      <c r="P21" s="16">
        <v>0</v>
      </c>
      <c r="Q21" s="18"/>
      <c r="R21" s="1"/>
    </row>
    <row r="22" spans="1:18" ht="54" customHeight="1" thickBot="1">
      <c r="A22" s="103" t="s">
        <v>200</v>
      </c>
      <c r="B22" s="456" t="s">
        <v>201</v>
      </c>
      <c r="C22" s="457"/>
      <c r="D22" s="458"/>
      <c r="E22" s="82">
        <v>10300</v>
      </c>
      <c r="F22" s="108">
        <f>0+E22</f>
        <v>10300</v>
      </c>
      <c r="G22" s="450">
        <v>810</v>
      </c>
      <c r="H22" s="451"/>
      <c r="I22" s="451"/>
      <c r="J22" s="452"/>
      <c r="K22" s="80">
        <f t="shared" si="0"/>
        <v>810</v>
      </c>
      <c r="L22" s="15">
        <f t="shared" si="1"/>
        <v>810</v>
      </c>
      <c r="M22" s="119">
        <f t="shared" si="2"/>
        <v>9490</v>
      </c>
      <c r="N22" s="124">
        <f t="shared" si="3"/>
        <v>9490</v>
      </c>
      <c r="O22" s="16">
        <v>0</v>
      </c>
      <c r="P22" s="16">
        <v>0</v>
      </c>
      <c r="Q22" s="1"/>
      <c r="R22" s="1"/>
    </row>
    <row r="23" spans="1:18" ht="60.75" customHeight="1" thickBot="1">
      <c r="A23" s="103" t="s">
        <v>202</v>
      </c>
      <c r="B23" s="436" t="s">
        <v>140</v>
      </c>
      <c r="C23" s="437"/>
      <c r="D23" s="438"/>
      <c r="E23" s="14"/>
      <c r="F23" s="108"/>
      <c r="G23" s="439">
        <v>129565.54</v>
      </c>
      <c r="H23" s="440"/>
      <c r="I23" s="440"/>
      <c r="J23" s="441"/>
      <c r="K23" s="130">
        <f t="shared" si="0"/>
        <v>129565.54</v>
      </c>
      <c r="L23" s="15">
        <f t="shared" si="1"/>
        <v>129565.54</v>
      </c>
      <c r="M23" s="119">
        <f t="shared" si="2"/>
        <v>-129565.54</v>
      </c>
      <c r="N23" s="124">
        <f t="shared" si="3"/>
        <v>-129565.54</v>
      </c>
      <c r="O23" s="16">
        <v>0</v>
      </c>
      <c r="P23" s="16">
        <v>0</v>
      </c>
      <c r="Q23" s="1"/>
      <c r="R23" s="1"/>
    </row>
    <row r="24" spans="1:18" ht="15">
      <c r="A24" s="442"/>
      <c r="B24" s="444" t="s">
        <v>30</v>
      </c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3"/>
      <c r="Q24" s="1"/>
      <c r="R24" s="1"/>
    </row>
    <row r="25" spans="1:18" ht="6" customHeight="1" thickBot="1">
      <c r="A25" s="443"/>
      <c r="B25" s="445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5"/>
      <c r="Q25" s="1"/>
      <c r="R25" s="1"/>
    </row>
    <row r="26" spans="1:18" ht="15.75" thickBot="1">
      <c r="A26" s="446"/>
      <c r="B26" s="400" t="s">
        <v>14</v>
      </c>
      <c r="C26" s="401"/>
      <c r="D26" s="402"/>
      <c r="E26" s="406" t="s">
        <v>24</v>
      </c>
      <c r="F26" s="408" t="s">
        <v>25</v>
      </c>
      <c r="G26" s="326" t="s">
        <v>31</v>
      </c>
      <c r="H26" s="410"/>
      <c r="I26" s="410"/>
      <c r="J26" s="410"/>
      <c r="K26" s="327"/>
      <c r="L26" s="393" t="s">
        <v>16</v>
      </c>
      <c r="M26" s="393" t="s">
        <v>17</v>
      </c>
      <c r="N26" s="393" t="s">
        <v>18</v>
      </c>
      <c r="O26" s="393" t="s">
        <v>19</v>
      </c>
      <c r="P26" s="393" t="s">
        <v>20</v>
      </c>
      <c r="Q26" s="1"/>
      <c r="R26" s="1"/>
    </row>
    <row r="27" spans="1:18" ht="105" customHeight="1" thickBot="1">
      <c r="A27" s="447"/>
      <c r="B27" s="403"/>
      <c r="C27" s="404"/>
      <c r="D27" s="405"/>
      <c r="E27" s="407"/>
      <c r="F27" s="409"/>
      <c r="G27" s="65" t="s">
        <v>32</v>
      </c>
      <c r="H27" s="65" t="s">
        <v>33</v>
      </c>
      <c r="I27" s="65" t="s">
        <v>34</v>
      </c>
      <c r="J27" s="5" t="s">
        <v>35</v>
      </c>
      <c r="K27" s="77" t="s">
        <v>27</v>
      </c>
      <c r="L27" s="394"/>
      <c r="M27" s="394"/>
      <c r="N27" s="394"/>
      <c r="O27" s="394"/>
      <c r="P27" s="394"/>
      <c r="Q27" s="1"/>
      <c r="R27" s="18">
        <v>365352.1499999948</v>
      </c>
    </row>
    <row r="28" spans="1:18" ht="15.75" thickBot="1">
      <c r="A28" s="6"/>
      <c r="B28" s="350">
        <v>1</v>
      </c>
      <c r="C28" s="351"/>
      <c r="D28" s="352"/>
      <c r="E28" s="7" t="s">
        <v>22</v>
      </c>
      <c r="F28" s="65">
        <v>3</v>
      </c>
      <c r="G28" s="65">
        <v>4</v>
      </c>
      <c r="H28" s="65">
        <v>5</v>
      </c>
      <c r="I28" s="5">
        <v>6</v>
      </c>
      <c r="J28" s="5">
        <v>7</v>
      </c>
      <c r="K28" s="89">
        <v>8</v>
      </c>
      <c r="L28" s="69">
        <v>9</v>
      </c>
      <c r="M28" s="5">
        <v>10</v>
      </c>
      <c r="N28" s="69">
        <v>11</v>
      </c>
      <c r="O28" s="5">
        <v>12</v>
      </c>
      <c r="P28" s="69">
        <v>13</v>
      </c>
      <c r="Q28" s="1"/>
      <c r="R28" s="1"/>
    </row>
    <row r="29" spans="1:18" ht="29.25" customHeight="1" thickBot="1">
      <c r="A29" s="6"/>
      <c r="B29" s="433" t="s">
        <v>23</v>
      </c>
      <c r="C29" s="434"/>
      <c r="D29" s="435"/>
      <c r="E29" s="76">
        <f aca="true" t="shared" si="4" ref="E29:N29">E30+E34+E38+E44+E51+E54+E64+E67+E71+E74+E78+E80+E88+E101+E133+E136+E139+E142</f>
        <v>1852813</v>
      </c>
      <c r="F29" s="76">
        <f t="shared" si="4"/>
        <v>1852813</v>
      </c>
      <c r="G29" s="76">
        <f t="shared" si="4"/>
        <v>632476.6100000001</v>
      </c>
      <c r="H29" s="76">
        <f t="shared" si="4"/>
        <v>0</v>
      </c>
      <c r="I29" s="76">
        <f t="shared" si="4"/>
        <v>13000</v>
      </c>
      <c r="J29" s="76">
        <f t="shared" si="4"/>
        <v>187666.27</v>
      </c>
      <c r="K29" s="76">
        <f t="shared" si="4"/>
        <v>833142.8800000001</v>
      </c>
      <c r="L29" s="76">
        <f t="shared" si="4"/>
        <v>833142.8800000001</v>
      </c>
      <c r="M29" s="76">
        <f t="shared" si="4"/>
        <v>1019670.1199999999</v>
      </c>
      <c r="N29" s="76">
        <f t="shared" si="4"/>
        <v>1019670.1199999999</v>
      </c>
      <c r="O29" s="21">
        <v>0</v>
      </c>
      <c r="P29" s="21">
        <v>0</v>
      </c>
      <c r="Q29" s="1"/>
      <c r="R29" s="18"/>
    </row>
    <row r="30" spans="1:18" ht="27.75" customHeight="1" thickBot="1">
      <c r="A30" s="22" t="s">
        <v>21</v>
      </c>
      <c r="B30" s="426" t="s">
        <v>36</v>
      </c>
      <c r="C30" s="338"/>
      <c r="D30" s="339"/>
      <c r="E30" s="111">
        <f>SUM(E31:E32)</f>
        <v>769724</v>
      </c>
      <c r="F30" s="81">
        <f>F31+F32+F33</f>
        <v>769724</v>
      </c>
      <c r="G30" s="20">
        <f>G31+G32+G33</f>
        <v>163027.42</v>
      </c>
      <c r="H30" s="20"/>
      <c r="I30" s="20"/>
      <c r="J30" s="20"/>
      <c r="K30" s="23">
        <f>0+G30</f>
        <v>163027.42</v>
      </c>
      <c r="L30" s="23">
        <f>0+K30</f>
        <v>163027.42</v>
      </c>
      <c r="M30" s="120">
        <f>E30-K30</f>
        <v>606696.58</v>
      </c>
      <c r="N30" s="122">
        <f>F30-L30</f>
        <v>606696.58</v>
      </c>
      <c r="O30" s="26">
        <v>0</v>
      </c>
      <c r="P30" s="27">
        <v>0</v>
      </c>
      <c r="Q30" s="18"/>
      <c r="R30" s="18"/>
    </row>
    <row r="31" spans="1:18" ht="15.75" customHeight="1" thickBot="1">
      <c r="A31" s="29" t="s">
        <v>150</v>
      </c>
      <c r="B31" s="430" t="s">
        <v>151</v>
      </c>
      <c r="C31" s="431"/>
      <c r="D31" s="432"/>
      <c r="E31" s="112">
        <v>519779</v>
      </c>
      <c r="F31" s="108">
        <f>0+E31</f>
        <v>519779</v>
      </c>
      <c r="G31" s="20"/>
      <c r="H31" s="20"/>
      <c r="I31" s="20"/>
      <c r="J31" s="20"/>
      <c r="K31" s="81"/>
      <c r="L31" s="23"/>
      <c r="M31" s="24"/>
      <c r="N31" s="25"/>
      <c r="O31" s="26"/>
      <c r="P31" s="27"/>
      <c r="Q31" s="18"/>
      <c r="R31" s="18"/>
    </row>
    <row r="32" spans="1:18" ht="20.25" customHeight="1" thickBot="1">
      <c r="A32" s="29" t="s">
        <v>153</v>
      </c>
      <c r="B32" s="340" t="s">
        <v>152</v>
      </c>
      <c r="C32" s="341"/>
      <c r="D32" s="342"/>
      <c r="E32" s="112">
        <v>249945</v>
      </c>
      <c r="F32" s="108">
        <f>0+E32</f>
        <v>249945</v>
      </c>
      <c r="G32" s="33">
        <v>163027.42</v>
      </c>
      <c r="H32" s="20"/>
      <c r="I32" s="20"/>
      <c r="J32" s="33"/>
      <c r="K32" s="15">
        <f>0+G32</f>
        <v>163027.42</v>
      </c>
      <c r="L32" s="15">
        <f>0+K32</f>
        <v>163027.42</v>
      </c>
      <c r="M32" s="119">
        <f>E32-K32</f>
        <v>86917.57999999999</v>
      </c>
      <c r="N32" s="121">
        <f>F32-L32</f>
        <v>86917.57999999999</v>
      </c>
      <c r="O32" s="31">
        <v>0</v>
      </c>
      <c r="P32" s="123">
        <v>0</v>
      </c>
      <c r="Q32" s="18"/>
      <c r="R32" s="18"/>
    </row>
    <row r="33" spans="1:18" ht="17.25" customHeight="1" thickBot="1">
      <c r="A33" s="29" t="s">
        <v>155</v>
      </c>
      <c r="B33" s="340" t="s">
        <v>154</v>
      </c>
      <c r="C33" s="341"/>
      <c r="D33" s="342"/>
      <c r="E33" s="95"/>
      <c r="F33" s="23"/>
      <c r="G33" s="20"/>
      <c r="H33" s="20"/>
      <c r="I33" s="20"/>
      <c r="J33" s="20"/>
      <c r="K33" s="81"/>
      <c r="L33" s="23"/>
      <c r="M33" s="24"/>
      <c r="N33" s="25"/>
      <c r="O33" s="26"/>
      <c r="P33" s="27"/>
      <c r="Q33" s="18"/>
      <c r="R33" s="18"/>
    </row>
    <row r="34" spans="1:18" ht="36.75" customHeight="1" thickBot="1">
      <c r="A34" s="128" t="s">
        <v>22</v>
      </c>
      <c r="B34" s="395" t="s">
        <v>37</v>
      </c>
      <c r="C34" s="396"/>
      <c r="D34" s="397"/>
      <c r="E34" s="81">
        <f>SUM(E35:E37)</f>
        <v>155484</v>
      </c>
      <c r="F34" s="81">
        <f>F35+F36+F37</f>
        <v>155484</v>
      </c>
      <c r="G34" s="20"/>
      <c r="H34" s="20"/>
      <c r="I34" s="20"/>
      <c r="J34" s="20"/>
      <c r="K34" s="23">
        <f>0+J34</f>
        <v>0</v>
      </c>
      <c r="L34" s="23">
        <f>0+K34</f>
        <v>0</v>
      </c>
      <c r="M34" s="120">
        <f>E34-K34</f>
        <v>155484</v>
      </c>
      <c r="N34" s="125">
        <f>F34-L34</f>
        <v>155484</v>
      </c>
      <c r="O34" s="26">
        <v>0</v>
      </c>
      <c r="P34" s="27">
        <v>0</v>
      </c>
      <c r="Q34" s="1"/>
      <c r="R34" s="1"/>
    </row>
    <row r="35" spans="1:18" ht="15.75" thickBot="1">
      <c r="A35" s="29" t="s">
        <v>156</v>
      </c>
      <c r="B35" s="430" t="s">
        <v>151</v>
      </c>
      <c r="C35" s="431"/>
      <c r="D35" s="432"/>
      <c r="E35" s="82">
        <v>104995</v>
      </c>
      <c r="F35" s="108">
        <f aca="true" t="shared" si="5" ref="F35:F50">0+E35</f>
        <v>104995</v>
      </c>
      <c r="G35" s="20"/>
      <c r="H35" s="20"/>
      <c r="I35" s="20"/>
      <c r="J35" s="20"/>
      <c r="K35" s="81"/>
      <c r="L35" s="23"/>
      <c r="M35" s="24"/>
      <c r="N35" s="28"/>
      <c r="O35" s="26"/>
      <c r="P35" s="27"/>
      <c r="Q35" s="1"/>
      <c r="R35" s="1"/>
    </row>
    <row r="36" spans="1:18" ht="15.75" thickBot="1">
      <c r="A36" s="29" t="s">
        <v>157</v>
      </c>
      <c r="B36" s="340" t="s">
        <v>152</v>
      </c>
      <c r="C36" s="341"/>
      <c r="D36" s="342"/>
      <c r="E36" s="82">
        <v>50489</v>
      </c>
      <c r="F36" s="108">
        <f t="shared" si="5"/>
        <v>50489</v>
      </c>
      <c r="G36" s="20"/>
      <c r="H36" s="20"/>
      <c r="I36" s="20"/>
      <c r="J36" s="20"/>
      <c r="K36" s="81"/>
      <c r="L36" s="23"/>
      <c r="M36" s="24"/>
      <c r="N36" s="28"/>
      <c r="O36" s="26"/>
      <c r="P36" s="27"/>
      <c r="Q36" s="1"/>
      <c r="R36" s="1"/>
    </row>
    <row r="37" spans="1:18" ht="15.75" thickBot="1">
      <c r="A37" s="29" t="s">
        <v>158</v>
      </c>
      <c r="B37" s="340" t="s">
        <v>154</v>
      </c>
      <c r="C37" s="341"/>
      <c r="D37" s="342"/>
      <c r="E37" s="82"/>
      <c r="F37" s="108"/>
      <c r="G37" s="20"/>
      <c r="H37" s="20"/>
      <c r="I37" s="20"/>
      <c r="J37" s="20"/>
      <c r="K37" s="81"/>
      <c r="L37" s="23"/>
      <c r="M37" s="24"/>
      <c r="N37" s="28"/>
      <c r="O37" s="26"/>
      <c r="P37" s="27"/>
      <c r="Q37" s="1"/>
      <c r="R37" s="1"/>
    </row>
    <row r="38" spans="1:18" ht="30" customHeight="1" thickBot="1">
      <c r="A38" s="22" t="s">
        <v>38</v>
      </c>
      <c r="B38" s="395" t="s">
        <v>39</v>
      </c>
      <c r="C38" s="396"/>
      <c r="D38" s="397"/>
      <c r="E38" s="81">
        <f>SUM(E41:E43)</f>
        <v>7500</v>
      </c>
      <c r="F38" s="114">
        <f>F41+F42+F43</f>
        <v>7500</v>
      </c>
      <c r="G38" s="20">
        <f>G40</f>
        <v>4216.61</v>
      </c>
      <c r="H38" s="20"/>
      <c r="I38" s="20"/>
      <c r="J38" s="20"/>
      <c r="K38" s="23">
        <f>K39+K40</f>
        <v>4216.61</v>
      </c>
      <c r="L38" s="23">
        <f>0+K38</f>
        <v>4216.61</v>
      </c>
      <c r="M38" s="120">
        <f>E38-K38</f>
        <v>3283.3900000000003</v>
      </c>
      <c r="N38" s="122">
        <f>F38-L38</f>
        <v>3283.3900000000003</v>
      </c>
      <c r="O38" s="26">
        <v>0</v>
      </c>
      <c r="P38" s="27">
        <v>0</v>
      </c>
      <c r="Q38" s="1"/>
      <c r="R38" s="1"/>
    </row>
    <row r="39" spans="1:18" ht="15.75" thickBot="1">
      <c r="A39" s="29" t="s">
        <v>159</v>
      </c>
      <c r="B39" s="430" t="s">
        <v>151</v>
      </c>
      <c r="C39" s="431"/>
      <c r="D39" s="432"/>
      <c r="E39" s="23"/>
      <c r="F39" s="108"/>
      <c r="G39" s="20"/>
      <c r="H39" s="20"/>
      <c r="I39" s="20"/>
      <c r="J39" s="20"/>
      <c r="K39" s="81"/>
      <c r="L39" s="23"/>
      <c r="M39" s="24"/>
      <c r="N39" s="28"/>
      <c r="O39" s="26"/>
      <c r="P39" s="27"/>
      <c r="Q39" s="1"/>
      <c r="R39" s="1"/>
    </row>
    <row r="40" spans="1:18" ht="15.75" thickBot="1">
      <c r="A40" s="29" t="s">
        <v>160</v>
      </c>
      <c r="B40" s="340" t="s">
        <v>152</v>
      </c>
      <c r="C40" s="341"/>
      <c r="D40" s="342"/>
      <c r="E40" s="82">
        <v>7500</v>
      </c>
      <c r="F40" s="108">
        <f t="shared" si="5"/>
        <v>7500</v>
      </c>
      <c r="G40" s="33">
        <f>G41+G42</f>
        <v>4216.61</v>
      </c>
      <c r="H40" s="20"/>
      <c r="I40" s="20"/>
      <c r="J40" s="33"/>
      <c r="K40" s="15">
        <f>0+G40</f>
        <v>4216.61</v>
      </c>
      <c r="L40" s="15">
        <f>0+K40</f>
        <v>4216.61</v>
      </c>
      <c r="M40" s="119">
        <f aca="true" t="shared" si="6" ref="M40:M53">E40-K40</f>
        <v>3283.3900000000003</v>
      </c>
      <c r="N40" s="121">
        <f aca="true" t="shared" si="7" ref="N40:N53">F40-L40</f>
        <v>3283.3900000000003</v>
      </c>
      <c r="O40" s="31">
        <v>0</v>
      </c>
      <c r="P40" s="123">
        <v>0</v>
      </c>
      <c r="Q40" s="1"/>
      <c r="R40" s="1"/>
    </row>
    <row r="41" spans="1:18" ht="15.75" thickBot="1">
      <c r="A41" s="29" t="s">
        <v>40</v>
      </c>
      <c r="B41" s="427" t="s">
        <v>41</v>
      </c>
      <c r="C41" s="428"/>
      <c r="D41" s="429"/>
      <c r="E41" s="108">
        <v>2281</v>
      </c>
      <c r="F41" s="108">
        <f>0+E41</f>
        <v>2281</v>
      </c>
      <c r="G41" s="33">
        <v>1997.61</v>
      </c>
      <c r="H41" s="20"/>
      <c r="I41" s="20"/>
      <c r="J41" s="33"/>
      <c r="K41" s="15">
        <f>0+G41</f>
        <v>1997.61</v>
      </c>
      <c r="L41" s="15">
        <f>0+K41</f>
        <v>1997.61</v>
      </c>
      <c r="M41" s="119">
        <f t="shared" si="6"/>
        <v>283.3900000000001</v>
      </c>
      <c r="N41" s="121">
        <f t="shared" si="7"/>
        <v>283.3900000000001</v>
      </c>
      <c r="O41" s="31">
        <v>0</v>
      </c>
      <c r="P41" s="123">
        <v>0</v>
      </c>
      <c r="Q41" s="1"/>
      <c r="R41" s="1"/>
    </row>
    <row r="42" spans="1:18" ht="15.75" thickBot="1">
      <c r="A42" s="29" t="s">
        <v>42</v>
      </c>
      <c r="B42" s="427" t="s">
        <v>43</v>
      </c>
      <c r="C42" s="428"/>
      <c r="D42" s="429"/>
      <c r="E42" s="108">
        <v>2219</v>
      </c>
      <c r="F42" s="108">
        <f t="shared" si="5"/>
        <v>2219</v>
      </c>
      <c r="G42" s="33">
        <v>2219</v>
      </c>
      <c r="H42" s="20"/>
      <c r="I42" s="20"/>
      <c r="J42" s="33"/>
      <c r="K42" s="15">
        <f>0+G42</f>
        <v>2219</v>
      </c>
      <c r="L42" s="15">
        <f>0+K42</f>
        <v>2219</v>
      </c>
      <c r="M42" s="119">
        <f t="shared" si="6"/>
        <v>0</v>
      </c>
      <c r="N42" s="121">
        <f t="shared" si="7"/>
        <v>0</v>
      </c>
      <c r="O42" s="31">
        <v>0</v>
      </c>
      <c r="P42" s="123">
        <v>0</v>
      </c>
      <c r="Q42" s="1"/>
      <c r="R42" s="1"/>
    </row>
    <row r="43" spans="1:18" ht="15.75" thickBot="1">
      <c r="A43" s="29" t="s">
        <v>44</v>
      </c>
      <c r="B43" s="427" t="s">
        <v>45</v>
      </c>
      <c r="C43" s="428"/>
      <c r="D43" s="429"/>
      <c r="E43" s="108">
        <v>3000</v>
      </c>
      <c r="F43" s="108">
        <f t="shared" si="5"/>
        <v>3000</v>
      </c>
      <c r="G43" s="13"/>
      <c r="H43" s="13"/>
      <c r="I43" s="13"/>
      <c r="J43" s="20"/>
      <c r="K43" s="15">
        <f>0+J43</f>
        <v>0</v>
      </c>
      <c r="L43" s="15">
        <f>0+K43</f>
        <v>0</v>
      </c>
      <c r="M43" s="119">
        <f t="shared" si="6"/>
        <v>3000</v>
      </c>
      <c r="N43" s="121">
        <f t="shared" si="7"/>
        <v>3000</v>
      </c>
      <c r="O43" s="31">
        <v>0</v>
      </c>
      <c r="P43" s="123">
        <v>0</v>
      </c>
      <c r="Q43" s="1"/>
      <c r="R43" s="18"/>
    </row>
    <row r="44" spans="1:18" ht="40.5" customHeight="1" thickBot="1">
      <c r="A44" s="22" t="s">
        <v>46</v>
      </c>
      <c r="B44" s="395" t="s">
        <v>47</v>
      </c>
      <c r="C44" s="396"/>
      <c r="D44" s="397"/>
      <c r="E44" s="81">
        <f>SUM(E47:E49)</f>
        <v>222600</v>
      </c>
      <c r="F44" s="114">
        <f t="shared" si="5"/>
        <v>222600</v>
      </c>
      <c r="G44" s="23">
        <f>G45+G46+G47</f>
        <v>203194</v>
      </c>
      <c r="H44" s="13"/>
      <c r="I44" s="32"/>
      <c r="J44" s="20"/>
      <c r="K44" s="23">
        <f>K45+K46+K47</f>
        <v>203194</v>
      </c>
      <c r="L44" s="23">
        <f>0+K44</f>
        <v>203194</v>
      </c>
      <c r="M44" s="120">
        <f t="shared" si="6"/>
        <v>19406</v>
      </c>
      <c r="N44" s="122">
        <f t="shared" si="7"/>
        <v>19406</v>
      </c>
      <c r="O44" s="26">
        <v>0</v>
      </c>
      <c r="P44" s="27">
        <v>0</v>
      </c>
      <c r="Q44" s="1"/>
      <c r="R44" s="1"/>
    </row>
    <row r="45" spans="1:18" ht="26.25" customHeight="1" thickBot="1">
      <c r="A45" s="29" t="s">
        <v>161</v>
      </c>
      <c r="B45" s="340" t="s">
        <v>152</v>
      </c>
      <c r="C45" s="341"/>
      <c r="D45" s="342"/>
      <c r="E45" s="112">
        <v>222600</v>
      </c>
      <c r="F45" s="108">
        <f>0+E45</f>
        <v>222600</v>
      </c>
      <c r="G45" s="15">
        <f>G48+G49</f>
        <v>203194</v>
      </c>
      <c r="H45" s="13"/>
      <c r="I45" s="32"/>
      <c r="J45" s="33"/>
      <c r="K45" s="15">
        <f>0+G45</f>
        <v>203194</v>
      </c>
      <c r="L45" s="15">
        <f>0+K45</f>
        <v>203194</v>
      </c>
      <c r="M45" s="119">
        <f t="shared" si="6"/>
        <v>19406</v>
      </c>
      <c r="N45" s="124">
        <f t="shared" si="7"/>
        <v>19406</v>
      </c>
      <c r="O45" s="31">
        <v>0</v>
      </c>
      <c r="P45" s="123">
        <v>0</v>
      </c>
      <c r="Q45" s="1"/>
      <c r="R45" s="1"/>
    </row>
    <row r="46" spans="1:18" ht="18.75" customHeight="1" thickBot="1">
      <c r="A46" s="29" t="s">
        <v>162</v>
      </c>
      <c r="B46" s="430" t="s">
        <v>151</v>
      </c>
      <c r="C46" s="431"/>
      <c r="D46" s="432"/>
      <c r="E46" s="94"/>
      <c r="F46" s="108"/>
      <c r="G46" s="23"/>
      <c r="H46" s="13"/>
      <c r="I46" s="32"/>
      <c r="J46" s="33"/>
      <c r="K46" s="15">
        <f aca="true" t="shared" si="8" ref="K46:K53">0+G46</f>
        <v>0</v>
      </c>
      <c r="L46" s="15">
        <f>0+K46</f>
        <v>0</v>
      </c>
      <c r="M46" s="119">
        <f t="shared" si="6"/>
        <v>0</v>
      </c>
      <c r="N46" s="121">
        <f t="shared" si="7"/>
        <v>0</v>
      </c>
      <c r="O46" s="31">
        <v>0</v>
      </c>
      <c r="P46" s="123">
        <v>0</v>
      </c>
      <c r="Q46" s="1"/>
      <c r="R46" s="1"/>
    </row>
    <row r="47" spans="1:18" ht="15.75" customHeight="1" thickBot="1">
      <c r="A47" s="29" t="s">
        <v>163</v>
      </c>
      <c r="B47" s="96" t="s">
        <v>154</v>
      </c>
      <c r="C47" s="97"/>
      <c r="D47" s="97"/>
      <c r="E47" s="126"/>
      <c r="F47" s="108"/>
      <c r="G47" s="23"/>
      <c r="H47" s="13"/>
      <c r="I47" s="32"/>
      <c r="J47" s="33"/>
      <c r="K47" s="15">
        <f t="shared" si="8"/>
        <v>0</v>
      </c>
      <c r="L47" s="15">
        <f>0+K47</f>
        <v>0</v>
      </c>
      <c r="M47" s="119">
        <f t="shared" si="6"/>
        <v>0</v>
      </c>
      <c r="N47" s="121">
        <f t="shared" si="7"/>
        <v>0</v>
      </c>
      <c r="O47" s="31">
        <v>0</v>
      </c>
      <c r="P47" s="123">
        <v>0</v>
      </c>
      <c r="Q47" s="1"/>
      <c r="R47" s="1"/>
    </row>
    <row r="48" spans="1:18" ht="15.75" thickBot="1">
      <c r="A48" s="29" t="s">
        <v>48</v>
      </c>
      <c r="B48" s="359" t="s">
        <v>49</v>
      </c>
      <c r="C48" s="360"/>
      <c r="D48" s="361"/>
      <c r="E48" s="108">
        <v>210000</v>
      </c>
      <c r="F48" s="108">
        <f>0+E48</f>
        <v>210000</v>
      </c>
      <c r="G48" s="13">
        <v>202952</v>
      </c>
      <c r="H48" s="13"/>
      <c r="I48" s="13"/>
      <c r="J48" s="33"/>
      <c r="K48" s="15">
        <f t="shared" si="8"/>
        <v>202952</v>
      </c>
      <c r="L48" s="15">
        <f>0+K48</f>
        <v>202952</v>
      </c>
      <c r="M48" s="119">
        <f t="shared" si="6"/>
        <v>7048</v>
      </c>
      <c r="N48" s="121">
        <f t="shared" si="7"/>
        <v>7048</v>
      </c>
      <c r="O48" s="31">
        <v>0</v>
      </c>
      <c r="P48" s="123">
        <v>0</v>
      </c>
      <c r="Q48" s="1"/>
      <c r="R48" s="18"/>
    </row>
    <row r="49" spans="1:18" ht="15.75" thickBot="1">
      <c r="A49" s="29" t="s">
        <v>50</v>
      </c>
      <c r="B49" s="359" t="s">
        <v>51</v>
      </c>
      <c r="C49" s="360"/>
      <c r="D49" s="361"/>
      <c r="E49" s="108">
        <v>12600</v>
      </c>
      <c r="F49" s="108">
        <f t="shared" si="5"/>
        <v>12600</v>
      </c>
      <c r="G49" s="13">
        <v>242</v>
      </c>
      <c r="H49" s="13"/>
      <c r="I49" s="13"/>
      <c r="J49" s="33"/>
      <c r="K49" s="15">
        <f t="shared" si="8"/>
        <v>242</v>
      </c>
      <c r="L49" s="15">
        <f>0+K49</f>
        <v>242</v>
      </c>
      <c r="M49" s="119">
        <f t="shared" si="6"/>
        <v>12358</v>
      </c>
      <c r="N49" s="121">
        <f t="shared" si="7"/>
        <v>12358</v>
      </c>
      <c r="O49" s="31">
        <v>0</v>
      </c>
      <c r="P49" s="123">
        <v>0</v>
      </c>
      <c r="Q49" s="1"/>
      <c r="R49" s="1"/>
    </row>
    <row r="50" spans="1:18" ht="15.75" thickBot="1">
      <c r="A50" s="29" t="s">
        <v>52</v>
      </c>
      <c r="B50" s="359" t="s">
        <v>53</v>
      </c>
      <c r="C50" s="360"/>
      <c r="D50" s="361"/>
      <c r="E50" s="13">
        <v>0</v>
      </c>
      <c r="F50" s="108">
        <f t="shared" si="5"/>
        <v>0</v>
      </c>
      <c r="G50" s="13"/>
      <c r="H50" s="13"/>
      <c r="I50" s="13"/>
      <c r="J50" s="20"/>
      <c r="K50" s="15">
        <f t="shared" si="8"/>
        <v>0</v>
      </c>
      <c r="L50" s="15">
        <f>0+K50</f>
        <v>0</v>
      </c>
      <c r="M50" s="119">
        <f t="shared" si="6"/>
        <v>0</v>
      </c>
      <c r="N50" s="121">
        <f t="shared" si="7"/>
        <v>0</v>
      </c>
      <c r="O50" s="31">
        <v>0</v>
      </c>
      <c r="P50" s="123">
        <v>0</v>
      </c>
      <c r="Q50" s="1"/>
      <c r="R50" s="1"/>
    </row>
    <row r="51" spans="1:18" ht="18" customHeight="1" thickBot="1">
      <c r="A51" s="22" t="s">
        <v>54</v>
      </c>
      <c r="B51" s="425" t="s">
        <v>55</v>
      </c>
      <c r="C51" s="323"/>
      <c r="D51" s="324"/>
      <c r="E51" s="23">
        <v>0</v>
      </c>
      <c r="F51" s="23">
        <v>0</v>
      </c>
      <c r="G51" s="23"/>
      <c r="H51" s="23"/>
      <c r="I51" s="23"/>
      <c r="J51" s="20"/>
      <c r="K51" s="15">
        <f t="shared" si="8"/>
        <v>0</v>
      </c>
      <c r="L51" s="15">
        <f>0+K51</f>
        <v>0</v>
      </c>
      <c r="M51" s="119">
        <f t="shared" si="6"/>
        <v>0</v>
      </c>
      <c r="N51" s="121">
        <f t="shared" si="7"/>
        <v>0</v>
      </c>
      <c r="O51" s="31">
        <v>0</v>
      </c>
      <c r="P51" s="123">
        <v>0</v>
      </c>
      <c r="Q51" s="1"/>
      <c r="R51" s="1"/>
    </row>
    <row r="52" spans="1:18" ht="15.75" thickBot="1">
      <c r="A52" s="29" t="s">
        <v>164</v>
      </c>
      <c r="B52" s="340" t="s">
        <v>152</v>
      </c>
      <c r="C52" s="341"/>
      <c r="D52" s="342"/>
      <c r="E52" s="23"/>
      <c r="F52" s="23"/>
      <c r="G52" s="23"/>
      <c r="H52" s="23"/>
      <c r="I52" s="23"/>
      <c r="J52" s="20"/>
      <c r="K52" s="15">
        <f t="shared" si="8"/>
        <v>0</v>
      </c>
      <c r="L52" s="15">
        <f>0+K52</f>
        <v>0</v>
      </c>
      <c r="M52" s="119">
        <f t="shared" si="6"/>
        <v>0</v>
      </c>
      <c r="N52" s="121">
        <f t="shared" si="7"/>
        <v>0</v>
      </c>
      <c r="O52" s="31">
        <v>0</v>
      </c>
      <c r="P52" s="123">
        <v>0</v>
      </c>
      <c r="Q52" s="1"/>
      <c r="R52" s="1"/>
    </row>
    <row r="53" spans="1:18" ht="15.75" thickBot="1">
      <c r="A53" s="29" t="s">
        <v>165</v>
      </c>
      <c r="B53" s="96" t="s">
        <v>154</v>
      </c>
      <c r="C53" s="97"/>
      <c r="D53" s="97"/>
      <c r="E53" s="23"/>
      <c r="F53" s="23"/>
      <c r="G53" s="23"/>
      <c r="H53" s="23"/>
      <c r="I53" s="23"/>
      <c r="J53" s="20"/>
      <c r="K53" s="15">
        <f t="shared" si="8"/>
        <v>0</v>
      </c>
      <c r="L53" s="15">
        <f>0+K53</f>
        <v>0</v>
      </c>
      <c r="M53" s="119">
        <f t="shared" si="6"/>
        <v>0</v>
      </c>
      <c r="N53" s="121">
        <f t="shared" si="7"/>
        <v>0</v>
      </c>
      <c r="O53" s="31">
        <v>0</v>
      </c>
      <c r="P53" s="123">
        <v>0</v>
      </c>
      <c r="Q53" s="1"/>
      <c r="R53" s="1"/>
    </row>
    <row r="54" spans="1:18" ht="43.5" customHeight="1" thickBot="1">
      <c r="A54" s="22" t="s">
        <v>56</v>
      </c>
      <c r="B54" s="395" t="s">
        <v>57</v>
      </c>
      <c r="C54" s="396"/>
      <c r="D54" s="397"/>
      <c r="E54" s="81">
        <f>SUM(E59:E63)</f>
        <v>296300</v>
      </c>
      <c r="F54" s="114">
        <f aca="true" t="shared" si="9" ref="F54:F79">0+E54</f>
        <v>296300</v>
      </c>
      <c r="G54" s="23">
        <f>G55+G56+G57+G58</f>
        <v>201996.77</v>
      </c>
      <c r="H54" s="23"/>
      <c r="I54" s="23"/>
      <c r="J54" s="23">
        <f>J55+J56+J57+J58</f>
        <v>11689.74</v>
      </c>
      <c r="K54" s="23">
        <f>G54+J54</f>
        <v>213686.50999999998</v>
      </c>
      <c r="L54" s="23">
        <f>0+K54</f>
        <v>213686.50999999998</v>
      </c>
      <c r="M54" s="120">
        <f aca="true" t="shared" si="10" ref="M54:M63">E54-K54</f>
        <v>82613.49000000002</v>
      </c>
      <c r="N54" s="125">
        <f aca="true" t="shared" si="11" ref="N54:N63">F54-L54</f>
        <v>82613.49000000002</v>
      </c>
      <c r="O54" s="26">
        <v>0</v>
      </c>
      <c r="P54" s="27">
        <v>0</v>
      </c>
      <c r="Q54" s="1"/>
      <c r="R54" s="18"/>
    </row>
    <row r="55" spans="1:18" ht="23.25" customHeight="1" thickBot="1">
      <c r="A55" s="29" t="s">
        <v>166</v>
      </c>
      <c r="B55" s="390" t="s">
        <v>152</v>
      </c>
      <c r="C55" s="391"/>
      <c r="D55" s="392"/>
      <c r="E55" s="113">
        <v>286000</v>
      </c>
      <c r="F55" s="108">
        <f t="shared" si="9"/>
        <v>286000</v>
      </c>
      <c r="G55" s="15">
        <v>201996.77</v>
      </c>
      <c r="H55" s="23"/>
      <c r="I55" s="23"/>
      <c r="J55" s="15"/>
      <c r="K55" s="15">
        <f>0+G55</f>
        <v>201996.77</v>
      </c>
      <c r="L55" s="15">
        <f>0+K55</f>
        <v>201996.77</v>
      </c>
      <c r="M55" s="119">
        <f t="shared" si="10"/>
        <v>84003.23000000001</v>
      </c>
      <c r="N55" s="121">
        <f t="shared" si="11"/>
        <v>84003.23000000001</v>
      </c>
      <c r="O55" s="31">
        <v>0</v>
      </c>
      <c r="P55" s="123">
        <v>0</v>
      </c>
      <c r="Q55" s="1"/>
      <c r="R55" s="18"/>
    </row>
    <row r="56" spans="1:18" ht="27.75" customHeight="1" thickBot="1">
      <c r="A56" s="29" t="s">
        <v>167</v>
      </c>
      <c r="B56" s="430" t="s">
        <v>168</v>
      </c>
      <c r="C56" s="431"/>
      <c r="D56" s="432"/>
      <c r="E56" s="112"/>
      <c r="F56" s="108"/>
      <c r="G56" s="23"/>
      <c r="H56" s="23"/>
      <c r="I56" s="23"/>
      <c r="J56" s="23"/>
      <c r="K56" s="15">
        <f aca="true" t="shared" si="12" ref="K56:K61">0+G56</f>
        <v>0</v>
      </c>
      <c r="L56" s="15">
        <f>0+K56</f>
        <v>0</v>
      </c>
      <c r="M56" s="119">
        <f t="shared" si="10"/>
        <v>0</v>
      </c>
      <c r="N56" s="121">
        <f t="shared" si="11"/>
        <v>0</v>
      </c>
      <c r="O56" s="31">
        <v>0</v>
      </c>
      <c r="P56" s="123">
        <v>0</v>
      </c>
      <c r="Q56" s="1"/>
      <c r="R56" s="18"/>
    </row>
    <row r="57" spans="1:18" ht="21.75" customHeight="1" thickBot="1">
      <c r="A57" s="29" t="s">
        <v>203</v>
      </c>
      <c r="B57" s="503" t="s">
        <v>154</v>
      </c>
      <c r="C57" s="504"/>
      <c r="D57" s="504"/>
      <c r="E57" s="127"/>
      <c r="F57" s="108"/>
      <c r="G57" s="23"/>
      <c r="H57" s="23"/>
      <c r="I57" s="23"/>
      <c r="J57" s="23"/>
      <c r="K57" s="15">
        <f t="shared" si="12"/>
        <v>0</v>
      </c>
      <c r="L57" s="15">
        <f>0+K57</f>
        <v>0</v>
      </c>
      <c r="M57" s="119">
        <f t="shared" si="10"/>
        <v>0</v>
      </c>
      <c r="N57" s="121">
        <f t="shared" si="11"/>
        <v>0</v>
      </c>
      <c r="O57" s="31">
        <v>0</v>
      </c>
      <c r="P57" s="123">
        <v>0</v>
      </c>
      <c r="Q57" s="1"/>
      <c r="R57" s="18"/>
    </row>
    <row r="58" spans="1:18" ht="20.25" customHeight="1" thickBot="1">
      <c r="A58" s="29" t="s">
        <v>204</v>
      </c>
      <c r="B58" s="497" t="s">
        <v>201</v>
      </c>
      <c r="C58" s="498"/>
      <c r="D58" s="499"/>
      <c r="E58" s="112">
        <v>10300</v>
      </c>
      <c r="F58" s="108">
        <f t="shared" si="9"/>
        <v>10300</v>
      </c>
      <c r="G58" s="15"/>
      <c r="H58" s="23"/>
      <c r="I58" s="23"/>
      <c r="J58" s="15">
        <f>J62+J63</f>
        <v>11689.74</v>
      </c>
      <c r="K58" s="15">
        <f>0+J58</f>
        <v>11689.74</v>
      </c>
      <c r="L58" s="15">
        <f>0+K58</f>
        <v>11689.74</v>
      </c>
      <c r="M58" s="119">
        <f t="shared" si="10"/>
        <v>-1389.7399999999998</v>
      </c>
      <c r="N58" s="121">
        <f t="shared" si="11"/>
        <v>-1389.7399999999998</v>
      </c>
      <c r="O58" s="31">
        <v>0</v>
      </c>
      <c r="P58" s="123">
        <v>0</v>
      </c>
      <c r="Q58" s="1"/>
      <c r="R58" s="18"/>
    </row>
    <row r="59" spans="1:18" ht="19.5" customHeight="1" thickBot="1">
      <c r="A59" s="29" t="s">
        <v>58</v>
      </c>
      <c r="B59" s="419" t="s">
        <v>59</v>
      </c>
      <c r="C59" s="420"/>
      <c r="D59" s="421"/>
      <c r="E59" s="108">
        <v>60000</v>
      </c>
      <c r="F59" s="108">
        <f t="shared" si="9"/>
        <v>60000</v>
      </c>
      <c r="G59" s="13"/>
      <c r="H59" s="13"/>
      <c r="I59" s="13"/>
      <c r="J59" s="15"/>
      <c r="K59" s="15">
        <f t="shared" si="12"/>
        <v>0</v>
      </c>
      <c r="L59" s="15">
        <f>0+K59</f>
        <v>0</v>
      </c>
      <c r="M59" s="119">
        <f t="shared" si="10"/>
        <v>60000</v>
      </c>
      <c r="N59" s="121">
        <f t="shared" si="11"/>
        <v>60000</v>
      </c>
      <c r="O59" s="31">
        <v>0</v>
      </c>
      <c r="P59" s="123">
        <v>0</v>
      </c>
      <c r="Q59" s="1"/>
      <c r="R59" s="1"/>
    </row>
    <row r="60" spans="1:18" ht="19.5" customHeight="1" thickBot="1">
      <c r="A60" s="29" t="s">
        <v>60</v>
      </c>
      <c r="B60" s="387" t="s">
        <v>61</v>
      </c>
      <c r="C60" s="388"/>
      <c r="D60" s="388"/>
      <c r="E60" s="108">
        <v>232000</v>
      </c>
      <c r="F60" s="108">
        <f t="shared" si="9"/>
        <v>232000</v>
      </c>
      <c r="G60" s="13">
        <v>201996.77</v>
      </c>
      <c r="H60" s="13"/>
      <c r="I60" s="13"/>
      <c r="J60" s="15"/>
      <c r="K60" s="15">
        <f t="shared" si="12"/>
        <v>201996.77</v>
      </c>
      <c r="L60" s="15">
        <f>0+K60</f>
        <v>201996.77</v>
      </c>
      <c r="M60" s="119">
        <f t="shared" si="10"/>
        <v>30003.23000000001</v>
      </c>
      <c r="N60" s="121">
        <f t="shared" si="11"/>
        <v>30003.23000000001</v>
      </c>
      <c r="O60" s="31">
        <v>0</v>
      </c>
      <c r="P60" s="123">
        <v>0</v>
      </c>
      <c r="Q60" s="1"/>
      <c r="R60" s="18"/>
    </row>
    <row r="61" spans="1:18" ht="21" customHeight="1" thickBot="1">
      <c r="A61" s="29" t="s">
        <v>60</v>
      </c>
      <c r="B61" s="422" t="s">
        <v>205</v>
      </c>
      <c r="C61" s="423"/>
      <c r="D61" s="424"/>
      <c r="E61" s="108"/>
      <c r="F61" s="108"/>
      <c r="G61" s="13"/>
      <c r="H61" s="13"/>
      <c r="I61" s="13"/>
      <c r="J61" s="15"/>
      <c r="K61" s="15">
        <f t="shared" si="12"/>
        <v>0</v>
      </c>
      <c r="L61" s="15">
        <f>0+K61</f>
        <v>0</v>
      </c>
      <c r="M61" s="119">
        <f t="shared" si="10"/>
        <v>0</v>
      </c>
      <c r="N61" s="121">
        <f t="shared" si="11"/>
        <v>0</v>
      </c>
      <c r="O61" s="31">
        <v>0</v>
      </c>
      <c r="P61" s="123">
        <v>0</v>
      </c>
      <c r="Q61" s="1"/>
      <c r="R61" s="1"/>
    </row>
    <row r="62" spans="1:18" ht="19.5" customHeight="1" thickBot="1">
      <c r="A62" s="29" t="s">
        <v>62</v>
      </c>
      <c r="B62" s="387" t="s">
        <v>63</v>
      </c>
      <c r="C62" s="388"/>
      <c r="D62" s="389"/>
      <c r="E62" s="108">
        <v>2300</v>
      </c>
      <c r="F62" s="108">
        <f t="shared" si="9"/>
        <v>2300</v>
      </c>
      <c r="G62" s="131"/>
      <c r="H62" s="60"/>
      <c r="I62" s="13"/>
      <c r="J62" s="13">
        <v>6257.4</v>
      </c>
      <c r="K62" s="15">
        <f>0+J62+G62</f>
        <v>6257.4</v>
      </c>
      <c r="L62" s="15">
        <f>0+K62</f>
        <v>6257.4</v>
      </c>
      <c r="M62" s="119">
        <f t="shared" si="10"/>
        <v>-3957.3999999999996</v>
      </c>
      <c r="N62" s="121">
        <f t="shared" si="11"/>
        <v>-3957.3999999999996</v>
      </c>
      <c r="O62" s="31">
        <v>0</v>
      </c>
      <c r="P62" s="123">
        <v>0</v>
      </c>
      <c r="Q62" s="1"/>
      <c r="R62" s="1"/>
    </row>
    <row r="63" spans="1:18" ht="25.5" customHeight="1" thickBot="1">
      <c r="A63" s="29" t="s">
        <v>64</v>
      </c>
      <c r="B63" s="387" t="s">
        <v>65</v>
      </c>
      <c r="C63" s="388"/>
      <c r="D63" s="389"/>
      <c r="E63" s="108">
        <v>2000</v>
      </c>
      <c r="F63" s="108">
        <f t="shared" si="9"/>
        <v>2000</v>
      </c>
      <c r="H63" s="13"/>
      <c r="I63" s="13"/>
      <c r="J63" s="13">
        <v>5432.34</v>
      </c>
      <c r="K63" s="15">
        <f>0+J63+G63</f>
        <v>5432.34</v>
      </c>
      <c r="L63" s="15">
        <f>0+K63</f>
        <v>5432.34</v>
      </c>
      <c r="M63" s="119">
        <f t="shared" si="10"/>
        <v>-3432.34</v>
      </c>
      <c r="N63" s="121">
        <f t="shared" si="11"/>
        <v>-3432.34</v>
      </c>
      <c r="O63" s="31">
        <v>0</v>
      </c>
      <c r="P63" s="123">
        <v>0</v>
      </c>
      <c r="Q63" s="1"/>
      <c r="R63" s="1"/>
    </row>
    <row r="64" spans="1:18" ht="34.5" customHeight="1" thickBot="1">
      <c r="A64" s="128" t="s">
        <v>66</v>
      </c>
      <c r="B64" s="395" t="s">
        <v>206</v>
      </c>
      <c r="C64" s="396"/>
      <c r="D64" s="397"/>
      <c r="E64" s="81">
        <v>202000</v>
      </c>
      <c r="F64" s="114">
        <f>F65+F66</f>
        <v>202000</v>
      </c>
      <c r="G64" s="32">
        <f>G65+G66</f>
        <v>17365</v>
      </c>
      <c r="H64" s="23"/>
      <c r="I64" s="23"/>
      <c r="J64" s="23">
        <f>J65+J66</f>
        <v>0</v>
      </c>
      <c r="K64" s="23">
        <f>K65+K66</f>
        <v>17365</v>
      </c>
      <c r="L64" s="23">
        <f>0+K64</f>
        <v>17365</v>
      </c>
      <c r="M64" s="120">
        <f>E64-K64</f>
        <v>184635</v>
      </c>
      <c r="N64" s="125">
        <f>F64-L64</f>
        <v>184635</v>
      </c>
      <c r="O64" s="26">
        <v>0</v>
      </c>
      <c r="P64" s="27">
        <v>0</v>
      </c>
      <c r="Q64" s="1"/>
      <c r="R64" s="1"/>
    </row>
    <row r="65" spans="1:18" ht="24" customHeight="1" thickBot="1">
      <c r="A65" s="29" t="s">
        <v>207</v>
      </c>
      <c r="B65" s="390" t="s">
        <v>152</v>
      </c>
      <c r="C65" s="391"/>
      <c r="D65" s="392"/>
      <c r="E65" s="82">
        <v>202000</v>
      </c>
      <c r="F65" s="108">
        <f t="shared" si="9"/>
        <v>202000</v>
      </c>
      <c r="G65" s="13">
        <v>17365</v>
      </c>
      <c r="H65" s="23"/>
      <c r="I65" s="23"/>
      <c r="J65" s="15"/>
      <c r="K65" s="15">
        <f>0+G65</f>
        <v>17365</v>
      </c>
      <c r="L65" s="15">
        <f>0+K65</f>
        <v>17365</v>
      </c>
      <c r="M65" s="119">
        <f>E65-K65</f>
        <v>184635</v>
      </c>
      <c r="N65" s="124">
        <f>F65-L65</f>
        <v>184635</v>
      </c>
      <c r="O65" s="31">
        <v>0</v>
      </c>
      <c r="P65" s="123">
        <v>0</v>
      </c>
      <c r="Q65" s="1"/>
      <c r="R65" s="1"/>
    </row>
    <row r="66" spans="1:18" ht="30.75" customHeight="1" thickBot="1">
      <c r="A66" s="29" t="s">
        <v>208</v>
      </c>
      <c r="B66" s="340" t="s">
        <v>171</v>
      </c>
      <c r="C66" s="341"/>
      <c r="D66" s="342"/>
      <c r="E66" s="81"/>
      <c r="F66" s="108"/>
      <c r="G66" s="32"/>
      <c r="H66" s="23"/>
      <c r="I66" s="23"/>
      <c r="J66" s="23"/>
      <c r="K66" s="15">
        <f>0+G66</f>
        <v>0</v>
      </c>
      <c r="L66" s="15">
        <f>0+K66</f>
        <v>0</v>
      </c>
      <c r="M66" s="119">
        <f>E66-K66</f>
        <v>0</v>
      </c>
      <c r="N66" s="124">
        <f>F66-L66</f>
        <v>0</v>
      </c>
      <c r="O66" s="31">
        <v>0</v>
      </c>
      <c r="P66" s="123">
        <v>0</v>
      </c>
      <c r="Q66" s="1"/>
      <c r="R66" s="1"/>
    </row>
    <row r="67" spans="1:18" ht="21.75" customHeight="1" thickBot="1">
      <c r="A67" s="128" t="s">
        <v>67</v>
      </c>
      <c r="B67" s="505" t="s">
        <v>68</v>
      </c>
      <c r="C67" s="506"/>
      <c r="D67" s="507"/>
      <c r="E67" s="81">
        <v>15000</v>
      </c>
      <c r="F67" s="114">
        <f t="shared" si="9"/>
        <v>15000</v>
      </c>
      <c r="G67" s="32"/>
      <c r="H67" s="23"/>
      <c r="I67" s="15"/>
      <c r="J67" s="23"/>
      <c r="K67" s="23">
        <f>0+J67</f>
        <v>0</v>
      </c>
      <c r="L67" s="23">
        <f>0+K67</f>
        <v>0</v>
      </c>
      <c r="M67" s="120">
        <f aca="true" t="shared" si="13" ref="M67:M73">E67-K67</f>
        <v>15000</v>
      </c>
      <c r="N67" s="125">
        <f aca="true" t="shared" si="14" ref="N67:N73">F67-L67</f>
        <v>15000</v>
      </c>
      <c r="O67" s="26">
        <v>0</v>
      </c>
      <c r="P67" s="27">
        <v>0</v>
      </c>
      <c r="Q67" s="1"/>
      <c r="R67" s="18"/>
    </row>
    <row r="68" spans="1:18" ht="23.25" customHeight="1" thickBot="1">
      <c r="A68" s="29" t="s">
        <v>169</v>
      </c>
      <c r="B68" s="390" t="s">
        <v>152</v>
      </c>
      <c r="C68" s="391"/>
      <c r="D68" s="392"/>
      <c r="E68" s="112">
        <v>15000</v>
      </c>
      <c r="F68" s="108">
        <f t="shared" si="9"/>
        <v>15000</v>
      </c>
      <c r="G68" s="32"/>
      <c r="H68" s="23"/>
      <c r="I68" s="15"/>
      <c r="J68" s="23"/>
      <c r="K68" s="15">
        <f>0+J68</f>
        <v>0</v>
      </c>
      <c r="L68" s="15">
        <f>0+K68</f>
        <v>0</v>
      </c>
      <c r="M68" s="119">
        <f t="shared" si="13"/>
        <v>15000</v>
      </c>
      <c r="N68" s="124">
        <f t="shared" si="14"/>
        <v>15000</v>
      </c>
      <c r="O68" s="31">
        <v>0</v>
      </c>
      <c r="P68" s="123">
        <v>0</v>
      </c>
      <c r="Q68" s="1"/>
      <c r="R68" s="18"/>
    </row>
    <row r="69" spans="1:18" ht="28.5" customHeight="1" thickBot="1">
      <c r="A69" s="29" t="s">
        <v>170</v>
      </c>
      <c r="B69" s="340" t="s">
        <v>171</v>
      </c>
      <c r="C69" s="341"/>
      <c r="D69" s="342"/>
      <c r="E69" s="112"/>
      <c r="F69" s="108"/>
      <c r="G69" s="32"/>
      <c r="H69" s="23"/>
      <c r="I69" s="15"/>
      <c r="J69" s="23"/>
      <c r="K69" s="15">
        <f>0+J69</f>
        <v>0</v>
      </c>
      <c r="L69" s="15">
        <f>0+K69</f>
        <v>0</v>
      </c>
      <c r="M69" s="119">
        <f t="shared" si="13"/>
        <v>0</v>
      </c>
      <c r="N69" s="124">
        <f t="shared" si="14"/>
        <v>0</v>
      </c>
      <c r="O69" s="31">
        <v>0</v>
      </c>
      <c r="P69" s="123">
        <v>0</v>
      </c>
      <c r="Q69" s="1"/>
      <c r="R69" s="18"/>
    </row>
    <row r="70" spans="1:18" ht="18.75" customHeight="1" thickBot="1">
      <c r="A70" s="29" t="s">
        <v>172</v>
      </c>
      <c r="B70" s="340" t="s">
        <v>154</v>
      </c>
      <c r="C70" s="341"/>
      <c r="D70" s="342"/>
      <c r="E70" s="113"/>
      <c r="F70" s="108"/>
      <c r="G70" s="32"/>
      <c r="H70" s="23"/>
      <c r="I70" s="15"/>
      <c r="J70" s="23"/>
      <c r="K70" s="15">
        <f>0+J70</f>
        <v>0</v>
      </c>
      <c r="L70" s="15">
        <f>0+K70</f>
        <v>0</v>
      </c>
      <c r="M70" s="119">
        <f t="shared" si="13"/>
        <v>0</v>
      </c>
      <c r="N70" s="124">
        <f t="shared" si="14"/>
        <v>0</v>
      </c>
      <c r="O70" s="31">
        <v>0</v>
      </c>
      <c r="P70" s="123">
        <v>0</v>
      </c>
      <c r="Q70" s="1"/>
      <c r="R70" s="18"/>
    </row>
    <row r="71" spans="1:18" ht="19.5" customHeight="1" thickBot="1">
      <c r="A71" s="30" t="s">
        <v>69</v>
      </c>
      <c r="B71" s="508" t="s">
        <v>70</v>
      </c>
      <c r="C71" s="509"/>
      <c r="D71" s="510"/>
      <c r="E71" s="81">
        <v>3000</v>
      </c>
      <c r="F71" s="114">
        <f t="shared" si="9"/>
        <v>3000</v>
      </c>
      <c r="G71" s="32">
        <f>G72+G73</f>
        <v>9085</v>
      </c>
      <c r="H71" s="23"/>
      <c r="I71" s="23"/>
      <c r="J71" s="23"/>
      <c r="K71" s="23">
        <f>G71</f>
        <v>9085</v>
      </c>
      <c r="L71" s="23">
        <f>0+K71</f>
        <v>9085</v>
      </c>
      <c r="M71" s="120">
        <f t="shared" si="13"/>
        <v>-6085</v>
      </c>
      <c r="N71" s="125">
        <f t="shared" si="14"/>
        <v>-6085</v>
      </c>
      <c r="O71" s="26">
        <v>0</v>
      </c>
      <c r="P71" s="27">
        <v>0</v>
      </c>
      <c r="Q71" s="1"/>
      <c r="R71" s="1"/>
    </row>
    <row r="72" spans="1:18" ht="19.5" customHeight="1" thickBot="1">
      <c r="A72" s="29" t="s">
        <v>169</v>
      </c>
      <c r="B72" s="96" t="s">
        <v>152</v>
      </c>
      <c r="C72" s="97"/>
      <c r="D72" s="98"/>
      <c r="E72" s="112">
        <v>3000</v>
      </c>
      <c r="F72" s="108">
        <f t="shared" si="9"/>
        <v>3000</v>
      </c>
      <c r="G72" s="13">
        <v>9085</v>
      </c>
      <c r="H72" s="23"/>
      <c r="I72" s="23"/>
      <c r="J72" s="15"/>
      <c r="K72" s="15">
        <f>G72</f>
        <v>9085</v>
      </c>
      <c r="L72" s="15">
        <f>0+K72</f>
        <v>9085</v>
      </c>
      <c r="M72" s="119">
        <f t="shared" si="13"/>
        <v>-6085</v>
      </c>
      <c r="N72" s="124">
        <f t="shared" si="14"/>
        <v>-6085</v>
      </c>
      <c r="O72" s="31">
        <v>0</v>
      </c>
      <c r="P72" s="123">
        <v>0</v>
      </c>
      <c r="Q72" s="1"/>
      <c r="R72" s="1"/>
    </row>
    <row r="73" spans="1:18" ht="19.5" customHeight="1" thickBot="1">
      <c r="A73" s="29" t="s">
        <v>172</v>
      </c>
      <c r="B73" s="340" t="s">
        <v>154</v>
      </c>
      <c r="C73" s="341"/>
      <c r="D73" s="342"/>
      <c r="E73" s="113"/>
      <c r="F73" s="108"/>
      <c r="G73" s="32"/>
      <c r="H73" s="23"/>
      <c r="I73" s="23"/>
      <c r="J73" s="15"/>
      <c r="K73" s="15">
        <f>0+J73</f>
        <v>0</v>
      </c>
      <c r="L73" s="15">
        <f>0+K73</f>
        <v>0</v>
      </c>
      <c r="M73" s="119">
        <f t="shared" si="13"/>
        <v>0</v>
      </c>
      <c r="N73" s="124">
        <f t="shared" si="14"/>
        <v>0</v>
      </c>
      <c r="O73" s="31">
        <v>0</v>
      </c>
      <c r="P73" s="123">
        <v>0</v>
      </c>
      <c r="Q73" s="1"/>
      <c r="R73" s="1"/>
    </row>
    <row r="74" spans="1:18" ht="29.25" customHeight="1" thickBot="1">
      <c r="A74" s="30" t="s">
        <v>71</v>
      </c>
      <c r="B74" s="508" t="s">
        <v>72</v>
      </c>
      <c r="C74" s="509"/>
      <c r="D74" s="510"/>
      <c r="E74" s="81">
        <v>65000</v>
      </c>
      <c r="F74" s="114">
        <f t="shared" si="9"/>
        <v>65000</v>
      </c>
      <c r="G74" s="32">
        <f>G75+G76+G77</f>
        <v>8930</v>
      </c>
      <c r="H74" s="23"/>
      <c r="I74" s="23"/>
      <c r="J74" s="23"/>
      <c r="K74" s="23">
        <f>K75+K76+K77</f>
        <v>8930</v>
      </c>
      <c r="L74" s="23">
        <f>0+K74</f>
        <v>8930</v>
      </c>
      <c r="M74" s="120">
        <f>E74-K74</f>
        <v>56070</v>
      </c>
      <c r="N74" s="125">
        <f>F74-L74</f>
        <v>56070</v>
      </c>
      <c r="O74" s="26">
        <v>0</v>
      </c>
      <c r="P74" s="27">
        <v>0</v>
      </c>
      <c r="Q74" s="1"/>
      <c r="R74" s="1"/>
    </row>
    <row r="75" spans="1:18" ht="19.5" customHeight="1" thickBot="1">
      <c r="A75" s="29" t="s">
        <v>173</v>
      </c>
      <c r="B75" s="340" t="s">
        <v>152</v>
      </c>
      <c r="C75" s="341"/>
      <c r="D75" s="342"/>
      <c r="E75" s="112">
        <v>65000</v>
      </c>
      <c r="F75" s="108">
        <f t="shared" si="9"/>
        <v>65000</v>
      </c>
      <c r="G75" s="13">
        <v>8930</v>
      </c>
      <c r="H75" s="23"/>
      <c r="I75" s="23"/>
      <c r="J75" s="15"/>
      <c r="K75" s="15">
        <f>G75</f>
        <v>8930</v>
      </c>
      <c r="L75" s="15">
        <f>0+K75</f>
        <v>8930</v>
      </c>
      <c r="M75" s="119">
        <f>E75-K75</f>
        <v>56070</v>
      </c>
      <c r="N75" s="124">
        <f>F75-L75</f>
        <v>56070</v>
      </c>
      <c r="O75" s="31">
        <v>0</v>
      </c>
      <c r="P75" s="123">
        <v>0</v>
      </c>
      <c r="Q75" s="1"/>
      <c r="R75" s="1"/>
    </row>
    <row r="76" spans="1:18" ht="28.5" customHeight="1" thickBot="1">
      <c r="A76" s="29" t="s">
        <v>174</v>
      </c>
      <c r="B76" s="340" t="s">
        <v>171</v>
      </c>
      <c r="C76" s="341"/>
      <c r="D76" s="342"/>
      <c r="E76" s="113"/>
      <c r="F76" s="108"/>
      <c r="G76" s="32"/>
      <c r="H76" s="23"/>
      <c r="I76" s="23"/>
      <c r="J76" s="15"/>
      <c r="K76" s="15">
        <f>0+J76</f>
        <v>0</v>
      </c>
      <c r="L76" s="15">
        <f>0+K76</f>
        <v>0</v>
      </c>
      <c r="M76" s="119">
        <f>E76-K76</f>
        <v>0</v>
      </c>
      <c r="N76" s="124">
        <f>F76-L76</f>
        <v>0</v>
      </c>
      <c r="O76" s="31">
        <v>0</v>
      </c>
      <c r="P76" s="123">
        <v>0</v>
      </c>
      <c r="Q76" s="1"/>
      <c r="R76" s="1"/>
    </row>
    <row r="77" spans="1:18" ht="21.75" customHeight="1" thickBot="1">
      <c r="A77" s="29" t="s">
        <v>175</v>
      </c>
      <c r="B77" s="96" t="s">
        <v>154</v>
      </c>
      <c r="C77" s="97"/>
      <c r="D77" s="98"/>
      <c r="E77" s="112"/>
      <c r="F77" s="108"/>
      <c r="G77" s="32"/>
      <c r="H77" s="23"/>
      <c r="I77" s="23"/>
      <c r="J77" s="15"/>
      <c r="K77" s="15">
        <f>0+J77</f>
        <v>0</v>
      </c>
      <c r="L77" s="15">
        <f>0+K77</f>
        <v>0</v>
      </c>
      <c r="M77" s="119">
        <f>E77-K77</f>
        <v>0</v>
      </c>
      <c r="N77" s="124">
        <f>F77-L77</f>
        <v>0</v>
      </c>
      <c r="O77" s="31">
        <v>0</v>
      </c>
      <c r="P77" s="123">
        <v>0</v>
      </c>
      <c r="Q77" s="1"/>
      <c r="R77" s="1"/>
    </row>
    <row r="78" spans="1:18" ht="31.5" customHeight="1" thickBot="1">
      <c r="A78" s="128" t="s">
        <v>73</v>
      </c>
      <c r="B78" s="395" t="s">
        <v>74</v>
      </c>
      <c r="C78" s="396"/>
      <c r="D78" s="397"/>
      <c r="E78" s="81">
        <v>500</v>
      </c>
      <c r="F78" s="114">
        <f t="shared" si="9"/>
        <v>500</v>
      </c>
      <c r="G78" s="32"/>
      <c r="H78" s="23"/>
      <c r="I78" s="23"/>
      <c r="J78" s="23"/>
      <c r="K78" s="23">
        <f>0+J78</f>
        <v>0</v>
      </c>
      <c r="L78" s="23">
        <f>0+K78</f>
        <v>0</v>
      </c>
      <c r="M78" s="120">
        <f>E78-K78</f>
        <v>500</v>
      </c>
      <c r="N78" s="125">
        <f>F78-L78</f>
        <v>500</v>
      </c>
      <c r="O78" s="26">
        <v>0</v>
      </c>
      <c r="P78" s="27">
        <v>0</v>
      </c>
      <c r="Q78" s="1"/>
      <c r="R78" s="1"/>
    </row>
    <row r="79" spans="1:18" ht="20.25" customHeight="1" thickBot="1">
      <c r="A79" s="22" t="s">
        <v>176</v>
      </c>
      <c r="B79" s="96" t="s">
        <v>152</v>
      </c>
      <c r="C79" s="97"/>
      <c r="D79" s="98"/>
      <c r="E79" s="113">
        <v>500</v>
      </c>
      <c r="F79" s="108">
        <f t="shared" si="9"/>
        <v>500</v>
      </c>
      <c r="G79" s="32"/>
      <c r="H79" s="23"/>
      <c r="I79" s="23"/>
      <c r="J79" s="23"/>
      <c r="K79" s="15">
        <f>0+J79</f>
        <v>0</v>
      </c>
      <c r="L79" s="15">
        <f>0+K79</f>
        <v>0</v>
      </c>
      <c r="M79" s="119">
        <f>E79-K79</f>
        <v>500</v>
      </c>
      <c r="N79" s="124">
        <f>F79-L79</f>
        <v>500</v>
      </c>
      <c r="O79" s="31">
        <v>0</v>
      </c>
      <c r="P79" s="123">
        <v>0</v>
      </c>
      <c r="Q79" s="1"/>
      <c r="R79" s="1"/>
    </row>
    <row r="80" spans="1:18" ht="18" customHeight="1" thickBot="1">
      <c r="A80" s="128" t="s">
        <v>75</v>
      </c>
      <c r="B80" s="395" t="s">
        <v>76</v>
      </c>
      <c r="C80" s="396"/>
      <c r="D80" s="397"/>
      <c r="E80" s="81"/>
      <c r="F80" s="23"/>
      <c r="G80" s="32"/>
      <c r="H80" s="23"/>
      <c r="I80" s="23"/>
      <c r="J80" s="23"/>
      <c r="K80" s="23">
        <f>0+J80</f>
        <v>0</v>
      </c>
      <c r="L80" s="23">
        <f>0+K80</f>
        <v>0</v>
      </c>
      <c r="M80" s="120">
        <f>E80-K80</f>
        <v>0</v>
      </c>
      <c r="N80" s="125">
        <f>F80-L80</f>
        <v>0</v>
      </c>
      <c r="O80" s="26">
        <v>0</v>
      </c>
      <c r="P80" s="27">
        <v>0</v>
      </c>
      <c r="Q80" s="1"/>
      <c r="R80" s="1"/>
    </row>
    <row r="81" spans="1:18" ht="16.5" customHeight="1" thickBot="1">
      <c r="A81" s="29" t="s">
        <v>177</v>
      </c>
      <c r="B81" s="390" t="s">
        <v>152</v>
      </c>
      <c r="C81" s="391"/>
      <c r="D81" s="392"/>
      <c r="E81" s="113"/>
      <c r="F81" s="117"/>
      <c r="G81" s="118"/>
      <c r="H81" s="99"/>
      <c r="I81" s="93"/>
      <c r="J81" s="99"/>
      <c r="K81" s="15">
        <f>0+J81</f>
        <v>0</v>
      </c>
      <c r="L81" s="15">
        <f>0+K81</f>
        <v>0</v>
      </c>
      <c r="M81" s="119">
        <f>E81-K81</f>
        <v>0</v>
      </c>
      <c r="N81" s="124">
        <f>F81-L81</f>
        <v>0</v>
      </c>
      <c r="O81" s="31">
        <v>0</v>
      </c>
      <c r="P81" s="123">
        <v>0</v>
      </c>
      <c r="Q81" s="1"/>
      <c r="R81" s="1"/>
    </row>
    <row r="82" spans="1:18" ht="23.25" customHeight="1" thickBot="1">
      <c r="A82" s="29" t="s">
        <v>178</v>
      </c>
      <c r="B82" s="96" t="s">
        <v>154</v>
      </c>
      <c r="C82" s="97"/>
      <c r="D82" s="98"/>
      <c r="E82" s="113"/>
      <c r="F82" s="23"/>
      <c r="G82" s="32"/>
      <c r="H82" s="146"/>
      <c r="I82" s="15"/>
      <c r="J82" s="146"/>
      <c r="K82" s="15">
        <f>0+J82</f>
        <v>0</v>
      </c>
      <c r="L82" s="15">
        <f>0+K82</f>
        <v>0</v>
      </c>
      <c r="M82" s="119">
        <f>E82-K82</f>
        <v>0</v>
      </c>
      <c r="N82" s="124">
        <f>F82-L82</f>
        <v>0</v>
      </c>
      <c r="O82" s="31">
        <v>0</v>
      </c>
      <c r="P82" s="123">
        <v>0</v>
      </c>
      <c r="Q82" s="1"/>
      <c r="R82" s="1"/>
    </row>
    <row r="83" spans="1:18" ht="15">
      <c r="A83" s="411"/>
      <c r="B83" s="413" t="s">
        <v>30</v>
      </c>
      <c r="C83" s="414"/>
      <c r="D83" s="414"/>
      <c r="E83" s="414"/>
      <c r="F83" s="414"/>
      <c r="G83" s="414"/>
      <c r="H83" s="414"/>
      <c r="I83" s="414"/>
      <c r="J83" s="414"/>
      <c r="K83" s="414"/>
      <c r="L83" s="414"/>
      <c r="M83" s="414"/>
      <c r="N83" s="414"/>
      <c r="O83" s="414"/>
      <c r="P83" s="415"/>
      <c r="Q83" s="1"/>
      <c r="R83" s="1"/>
    </row>
    <row r="84" spans="1:18" ht="6.75" customHeight="1" thickBot="1">
      <c r="A84" s="412"/>
      <c r="B84" s="416"/>
      <c r="C84" s="417"/>
      <c r="D84" s="417"/>
      <c r="E84" s="417"/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8"/>
      <c r="Q84" s="1"/>
      <c r="R84" s="1"/>
    </row>
    <row r="85" spans="1:18" ht="22.5" customHeight="1" thickBot="1">
      <c r="A85" s="398"/>
      <c r="B85" s="400" t="s">
        <v>14</v>
      </c>
      <c r="C85" s="401"/>
      <c r="D85" s="402"/>
      <c r="E85" s="406" t="s">
        <v>24</v>
      </c>
      <c r="F85" s="408" t="s">
        <v>25</v>
      </c>
      <c r="G85" s="326" t="s">
        <v>31</v>
      </c>
      <c r="H85" s="410"/>
      <c r="I85" s="410"/>
      <c r="J85" s="410"/>
      <c r="K85" s="327"/>
      <c r="L85" s="393" t="s">
        <v>16</v>
      </c>
      <c r="M85" s="393" t="s">
        <v>17</v>
      </c>
      <c r="N85" s="393" t="s">
        <v>18</v>
      </c>
      <c r="O85" s="393" t="s">
        <v>19</v>
      </c>
      <c r="P85" s="393" t="s">
        <v>20</v>
      </c>
      <c r="Q85" s="1"/>
      <c r="R85" s="1"/>
    </row>
    <row r="86" spans="1:18" ht="93.75" customHeight="1" thickBot="1">
      <c r="A86" s="399"/>
      <c r="B86" s="403"/>
      <c r="C86" s="404"/>
      <c r="D86" s="405"/>
      <c r="E86" s="407"/>
      <c r="F86" s="409"/>
      <c r="G86" s="65" t="s">
        <v>32</v>
      </c>
      <c r="H86" s="65" t="s">
        <v>33</v>
      </c>
      <c r="I86" s="65" t="s">
        <v>34</v>
      </c>
      <c r="J86" s="5" t="s">
        <v>77</v>
      </c>
      <c r="K86" s="77" t="s">
        <v>27</v>
      </c>
      <c r="L86" s="394"/>
      <c r="M86" s="394"/>
      <c r="N86" s="394"/>
      <c r="O86" s="394"/>
      <c r="P86" s="394"/>
      <c r="Q86" s="1"/>
      <c r="R86" s="1"/>
    </row>
    <row r="87" spans="1:18" ht="15.75" thickBot="1">
      <c r="A87" s="29"/>
      <c r="B87" s="350">
        <v>1</v>
      </c>
      <c r="C87" s="351"/>
      <c r="D87" s="352"/>
      <c r="E87" s="7" t="s">
        <v>22</v>
      </c>
      <c r="F87" s="65">
        <v>3</v>
      </c>
      <c r="G87" s="65">
        <v>4</v>
      </c>
      <c r="H87" s="65">
        <v>5</v>
      </c>
      <c r="I87" s="5">
        <v>6</v>
      </c>
      <c r="J87" s="5">
        <v>7</v>
      </c>
      <c r="K87" s="89">
        <v>8</v>
      </c>
      <c r="L87" s="69">
        <v>9</v>
      </c>
      <c r="M87" s="5">
        <v>10</v>
      </c>
      <c r="N87" s="69">
        <v>11</v>
      </c>
      <c r="O87" s="5">
        <v>12</v>
      </c>
      <c r="P87" s="69">
        <v>13</v>
      </c>
      <c r="Q87" s="1"/>
      <c r="R87" s="1"/>
    </row>
    <row r="88" spans="1:18" ht="33" customHeight="1" thickBot="1">
      <c r="A88" s="22" t="s">
        <v>78</v>
      </c>
      <c r="B88" s="395" t="s">
        <v>79</v>
      </c>
      <c r="C88" s="396"/>
      <c r="D88" s="397"/>
      <c r="E88" s="81">
        <f>E89</f>
        <v>27555</v>
      </c>
      <c r="F88" s="114">
        <f aca="true" t="shared" si="15" ref="F88:F120">0+E88</f>
        <v>27555</v>
      </c>
      <c r="G88" s="81">
        <f>G89+G90+G91+G92</f>
        <v>21276.8</v>
      </c>
      <c r="H88" s="23"/>
      <c r="I88" s="23"/>
      <c r="J88" s="23"/>
      <c r="K88" s="83">
        <f>K89+K90+K91+K92</f>
        <v>21276.8</v>
      </c>
      <c r="L88" s="23">
        <f>0+K88</f>
        <v>21276.8</v>
      </c>
      <c r="M88" s="120">
        <f aca="true" t="shared" si="16" ref="M88:M100">E88-K88</f>
        <v>6278.200000000001</v>
      </c>
      <c r="N88" s="125">
        <f aca="true" t="shared" si="17" ref="N88:N100">F88-L88</f>
        <v>6278.200000000001</v>
      </c>
      <c r="O88" s="26">
        <v>0</v>
      </c>
      <c r="P88" s="27">
        <v>0</v>
      </c>
      <c r="Q88" s="18"/>
      <c r="R88" s="1"/>
    </row>
    <row r="89" spans="1:18" ht="21" customHeight="1" thickBot="1">
      <c r="A89" s="29" t="s">
        <v>179</v>
      </c>
      <c r="B89" s="390" t="s">
        <v>152</v>
      </c>
      <c r="C89" s="391"/>
      <c r="D89" s="392"/>
      <c r="E89" s="112">
        <f>E93+E94+E96+E97+E98+E100+E99+E95</f>
        <v>27555</v>
      </c>
      <c r="F89" s="108">
        <f t="shared" si="15"/>
        <v>27555</v>
      </c>
      <c r="G89" s="82">
        <f>G96+G97+G98+G100+G93+G94</f>
        <v>21276.8</v>
      </c>
      <c r="H89" s="23"/>
      <c r="I89" s="23"/>
      <c r="J89" s="23"/>
      <c r="K89" s="84">
        <f>G89</f>
        <v>21276.8</v>
      </c>
      <c r="L89" s="15">
        <f>0+K89</f>
        <v>21276.8</v>
      </c>
      <c r="M89" s="119">
        <f t="shared" si="16"/>
        <v>6278.200000000001</v>
      </c>
      <c r="N89" s="124">
        <f t="shared" si="17"/>
        <v>6278.200000000001</v>
      </c>
      <c r="O89" s="31">
        <v>0</v>
      </c>
      <c r="P89" s="123">
        <v>0</v>
      </c>
      <c r="Q89" s="18"/>
      <c r="R89" s="1"/>
    </row>
    <row r="90" spans="1:18" ht="21" customHeight="1" thickBot="1">
      <c r="A90" s="29" t="s">
        <v>180</v>
      </c>
      <c r="B90" s="390" t="s">
        <v>151</v>
      </c>
      <c r="C90" s="391"/>
      <c r="D90" s="392"/>
      <c r="E90" s="112"/>
      <c r="F90" s="108"/>
      <c r="G90" s="81"/>
      <c r="H90" s="23"/>
      <c r="I90" s="23"/>
      <c r="J90" s="23"/>
      <c r="K90" s="84">
        <f aca="true" t="shared" si="18" ref="K90:K99">G90</f>
        <v>0</v>
      </c>
      <c r="L90" s="15">
        <f>0+K90</f>
        <v>0</v>
      </c>
      <c r="M90" s="119">
        <f t="shared" si="16"/>
        <v>0</v>
      </c>
      <c r="N90" s="124">
        <f t="shared" si="17"/>
        <v>0</v>
      </c>
      <c r="O90" s="31">
        <v>0</v>
      </c>
      <c r="P90" s="123">
        <v>0</v>
      </c>
      <c r="Q90" s="18"/>
      <c r="R90" s="1"/>
    </row>
    <row r="91" spans="1:18" ht="30" customHeight="1" thickBot="1">
      <c r="A91" s="29" t="s">
        <v>181</v>
      </c>
      <c r="B91" s="340" t="s">
        <v>171</v>
      </c>
      <c r="C91" s="341"/>
      <c r="D91" s="342"/>
      <c r="E91" s="112"/>
      <c r="F91" s="108"/>
      <c r="G91" s="81"/>
      <c r="H91" s="23"/>
      <c r="I91" s="23"/>
      <c r="J91" s="23"/>
      <c r="K91" s="84">
        <f t="shared" si="18"/>
        <v>0</v>
      </c>
      <c r="L91" s="15">
        <f>0+K91</f>
        <v>0</v>
      </c>
      <c r="M91" s="119">
        <f t="shared" si="16"/>
        <v>0</v>
      </c>
      <c r="N91" s="124">
        <f t="shared" si="17"/>
        <v>0</v>
      </c>
      <c r="O91" s="31">
        <v>0</v>
      </c>
      <c r="P91" s="123">
        <v>0</v>
      </c>
      <c r="Q91" s="18"/>
      <c r="R91" s="1"/>
    </row>
    <row r="92" spans="1:18" ht="21.75" customHeight="1" thickBot="1">
      <c r="A92" s="29" t="s">
        <v>182</v>
      </c>
      <c r="B92" s="340" t="s">
        <v>154</v>
      </c>
      <c r="C92" s="341"/>
      <c r="D92" s="342"/>
      <c r="E92" s="112"/>
      <c r="F92" s="108"/>
      <c r="G92" s="81"/>
      <c r="H92" s="23"/>
      <c r="I92" s="23"/>
      <c r="J92" s="23"/>
      <c r="K92" s="84">
        <f t="shared" si="18"/>
        <v>0</v>
      </c>
      <c r="L92" s="15">
        <f>0+K92</f>
        <v>0</v>
      </c>
      <c r="M92" s="119">
        <f t="shared" si="16"/>
        <v>0</v>
      </c>
      <c r="N92" s="124">
        <f t="shared" si="17"/>
        <v>0</v>
      </c>
      <c r="O92" s="31">
        <v>0</v>
      </c>
      <c r="P92" s="123">
        <v>0</v>
      </c>
      <c r="Q92" s="18"/>
      <c r="R92" s="1"/>
    </row>
    <row r="93" spans="1:18" ht="15.75" thickBot="1">
      <c r="A93" s="29" t="s">
        <v>80</v>
      </c>
      <c r="B93" s="359" t="s">
        <v>81</v>
      </c>
      <c r="C93" s="360"/>
      <c r="D93" s="361"/>
      <c r="E93" s="108">
        <v>3000</v>
      </c>
      <c r="F93" s="108">
        <f t="shared" si="15"/>
        <v>3000</v>
      </c>
      <c r="G93" s="82">
        <v>3000</v>
      </c>
      <c r="H93" s="13"/>
      <c r="I93" s="13"/>
      <c r="J93" s="13"/>
      <c r="K93" s="84">
        <f t="shared" si="18"/>
        <v>3000</v>
      </c>
      <c r="L93" s="15">
        <f>0+K93</f>
        <v>3000</v>
      </c>
      <c r="M93" s="119">
        <f t="shared" si="16"/>
        <v>0</v>
      </c>
      <c r="N93" s="124">
        <f t="shared" si="17"/>
        <v>0</v>
      </c>
      <c r="O93" s="31">
        <v>0</v>
      </c>
      <c r="P93" s="123">
        <v>0</v>
      </c>
      <c r="Q93" s="1"/>
      <c r="R93" s="18"/>
    </row>
    <row r="94" spans="1:18" ht="20.25" customHeight="1" thickBot="1">
      <c r="A94" s="29" t="s">
        <v>82</v>
      </c>
      <c r="B94" s="387" t="s">
        <v>209</v>
      </c>
      <c r="C94" s="388"/>
      <c r="D94" s="389"/>
      <c r="E94" s="108">
        <v>4400</v>
      </c>
      <c r="F94" s="108">
        <f t="shared" si="15"/>
        <v>4400</v>
      </c>
      <c r="G94" s="82">
        <v>4400</v>
      </c>
      <c r="H94" s="13"/>
      <c r="I94" s="13"/>
      <c r="J94" s="13"/>
      <c r="K94" s="84">
        <f>G94</f>
        <v>4400</v>
      </c>
      <c r="L94" s="15">
        <f>0+K94</f>
        <v>4400</v>
      </c>
      <c r="M94" s="119">
        <f t="shared" si="16"/>
        <v>0</v>
      </c>
      <c r="N94" s="124">
        <f t="shared" si="17"/>
        <v>0</v>
      </c>
      <c r="O94" s="31">
        <v>0</v>
      </c>
      <c r="P94" s="123">
        <v>0</v>
      </c>
      <c r="Q94" s="1"/>
      <c r="R94" s="1"/>
    </row>
    <row r="95" spans="1:18" ht="19.5" customHeight="1" thickBot="1">
      <c r="A95" s="29" t="s">
        <v>83</v>
      </c>
      <c r="B95" s="359" t="s">
        <v>84</v>
      </c>
      <c r="C95" s="360"/>
      <c r="D95" s="361"/>
      <c r="E95" s="108"/>
      <c r="F95" s="108">
        <f t="shared" si="15"/>
        <v>0</v>
      </c>
      <c r="G95" s="81"/>
      <c r="H95" s="13"/>
      <c r="I95" s="13"/>
      <c r="J95" s="13"/>
      <c r="K95" s="84">
        <f t="shared" si="18"/>
        <v>0</v>
      </c>
      <c r="L95" s="15">
        <f>0+K95</f>
        <v>0</v>
      </c>
      <c r="M95" s="119">
        <f t="shared" si="16"/>
        <v>0</v>
      </c>
      <c r="N95" s="124">
        <f t="shared" si="17"/>
        <v>0</v>
      </c>
      <c r="O95" s="31">
        <v>0</v>
      </c>
      <c r="P95" s="123">
        <v>0</v>
      </c>
      <c r="Q95" s="1"/>
      <c r="R95" s="1"/>
    </row>
    <row r="96" spans="1:18" ht="18" customHeight="1" thickBot="1">
      <c r="A96" s="29" t="s">
        <v>85</v>
      </c>
      <c r="B96" s="359" t="s">
        <v>86</v>
      </c>
      <c r="C96" s="360"/>
      <c r="D96" s="361"/>
      <c r="E96" s="108">
        <v>1355</v>
      </c>
      <c r="F96" s="108">
        <f t="shared" si="15"/>
        <v>1355</v>
      </c>
      <c r="G96" s="82">
        <v>1355</v>
      </c>
      <c r="H96" s="13"/>
      <c r="I96" s="13"/>
      <c r="J96" s="13"/>
      <c r="K96" s="84">
        <f t="shared" si="18"/>
        <v>1355</v>
      </c>
      <c r="L96" s="15">
        <f>0+K96</f>
        <v>1355</v>
      </c>
      <c r="M96" s="119">
        <f t="shared" si="16"/>
        <v>0</v>
      </c>
      <c r="N96" s="124">
        <f t="shared" si="17"/>
        <v>0</v>
      </c>
      <c r="O96" s="31">
        <v>0</v>
      </c>
      <c r="P96" s="123">
        <v>0</v>
      </c>
      <c r="Q96" s="1"/>
      <c r="R96" s="1"/>
    </row>
    <row r="97" spans="1:18" ht="20.25" customHeight="1" thickBot="1">
      <c r="A97" s="29" t="s">
        <v>87</v>
      </c>
      <c r="B97" s="359" t="s">
        <v>88</v>
      </c>
      <c r="C97" s="360"/>
      <c r="D97" s="361"/>
      <c r="E97" s="108">
        <v>7500</v>
      </c>
      <c r="F97" s="108">
        <f t="shared" si="15"/>
        <v>7500</v>
      </c>
      <c r="G97" s="82">
        <v>3151</v>
      </c>
      <c r="H97" s="13"/>
      <c r="I97" s="13"/>
      <c r="J97" s="13"/>
      <c r="K97" s="84">
        <f>G97</f>
        <v>3151</v>
      </c>
      <c r="L97" s="15">
        <f>0+K97</f>
        <v>3151</v>
      </c>
      <c r="M97" s="119">
        <f t="shared" si="16"/>
        <v>4349</v>
      </c>
      <c r="N97" s="124">
        <f t="shared" si="17"/>
        <v>4349</v>
      </c>
      <c r="O97" s="31">
        <v>0</v>
      </c>
      <c r="P97" s="123">
        <v>0</v>
      </c>
      <c r="Q97" s="1"/>
      <c r="R97" s="1"/>
    </row>
    <row r="98" spans="1:16" ht="18" customHeight="1" thickBot="1">
      <c r="A98" s="29" t="s">
        <v>89</v>
      </c>
      <c r="B98" s="359" t="s">
        <v>90</v>
      </c>
      <c r="C98" s="360"/>
      <c r="D98" s="361"/>
      <c r="E98" s="108">
        <v>1500</v>
      </c>
      <c r="F98" s="108">
        <f t="shared" si="15"/>
        <v>1500</v>
      </c>
      <c r="G98" s="81"/>
      <c r="H98" s="13"/>
      <c r="I98" s="13"/>
      <c r="J98" s="13"/>
      <c r="K98" s="84">
        <f t="shared" si="18"/>
        <v>0</v>
      </c>
      <c r="L98" s="15">
        <f>0+K98</f>
        <v>0</v>
      </c>
      <c r="M98" s="119">
        <f t="shared" si="16"/>
        <v>1500</v>
      </c>
      <c r="N98" s="124">
        <f t="shared" si="17"/>
        <v>1500</v>
      </c>
      <c r="O98" s="31">
        <v>0</v>
      </c>
      <c r="P98" s="123">
        <v>0</v>
      </c>
    </row>
    <row r="99" spans="1:16" ht="20.25" customHeight="1" thickBot="1">
      <c r="A99" s="29" t="s">
        <v>91</v>
      </c>
      <c r="B99" s="359" t="s">
        <v>92</v>
      </c>
      <c r="C99" s="360"/>
      <c r="D99" s="361"/>
      <c r="E99" s="108">
        <v>0</v>
      </c>
      <c r="F99" s="108">
        <f t="shared" si="15"/>
        <v>0</v>
      </c>
      <c r="G99" s="81"/>
      <c r="H99" s="13"/>
      <c r="I99" s="13"/>
      <c r="J99" s="13"/>
      <c r="K99" s="84">
        <f t="shared" si="18"/>
        <v>0</v>
      </c>
      <c r="L99" s="15">
        <f>0+K99</f>
        <v>0</v>
      </c>
      <c r="M99" s="119">
        <f t="shared" si="16"/>
        <v>0</v>
      </c>
      <c r="N99" s="124">
        <f t="shared" si="17"/>
        <v>0</v>
      </c>
      <c r="O99" s="31">
        <v>0</v>
      </c>
      <c r="P99" s="123">
        <v>0</v>
      </c>
    </row>
    <row r="100" spans="1:16" ht="19.5" customHeight="1" thickBot="1">
      <c r="A100" s="29" t="s">
        <v>93</v>
      </c>
      <c r="B100" s="359" t="s">
        <v>94</v>
      </c>
      <c r="C100" s="360"/>
      <c r="D100" s="361"/>
      <c r="E100" s="108">
        <v>9800</v>
      </c>
      <c r="F100" s="108">
        <f t="shared" si="15"/>
        <v>9800</v>
      </c>
      <c r="G100" s="82">
        <v>9370.8</v>
      </c>
      <c r="H100" s="13"/>
      <c r="I100" s="13"/>
      <c r="J100" s="13"/>
      <c r="K100" s="84">
        <f>G100</f>
        <v>9370.8</v>
      </c>
      <c r="L100" s="15">
        <f aca="true" t="shared" si="19" ref="L100:L121">0+K100</f>
        <v>9370.8</v>
      </c>
      <c r="M100" s="119">
        <f t="shared" si="16"/>
        <v>429.2000000000007</v>
      </c>
      <c r="N100" s="124">
        <f t="shared" si="17"/>
        <v>429.2000000000007</v>
      </c>
      <c r="O100" s="31">
        <v>0</v>
      </c>
      <c r="P100" s="123">
        <v>0</v>
      </c>
    </row>
    <row r="101" spans="1:16" ht="24" customHeight="1" thickBot="1">
      <c r="A101" s="56" t="s">
        <v>95</v>
      </c>
      <c r="B101" s="425" t="s">
        <v>96</v>
      </c>
      <c r="C101" s="323"/>
      <c r="D101" s="324"/>
      <c r="E101" s="114">
        <f>E102+E103</f>
        <v>88150</v>
      </c>
      <c r="F101" s="114">
        <f t="shared" si="15"/>
        <v>88150</v>
      </c>
      <c r="G101" s="114">
        <f>G102+G104+G105</f>
        <v>3385.01</v>
      </c>
      <c r="H101" s="32"/>
      <c r="I101" s="23">
        <v>13000</v>
      </c>
      <c r="J101" s="23"/>
      <c r="K101" s="114">
        <f>K102+K104+K105</f>
        <v>16385.010000000002</v>
      </c>
      <c r="L101" s="23">
        <f t="shared" si="19"/>
        <v>16385.010000000002</v>
      </c>
      <c r="M101" s="120">
        <f aca="true" t="shared" si="20" ref="M101:M121">E101-K101</f>
        <v>71764.98999999999</v>
      </c>
      <c r="N101" s="125">
        <f aca="true" t="shared" si="21" ref="N101:N121">F101-L101</f>
        <v>71764.98999999999</v>
      </c>
      <c r="O101" s="26">
        <v>0</v>
      </c>
      <c r="P101" s="27">
        <v>0</v>
      </c>
    </row>
    <row r="102" spans="1:16" ht="20.25" customHeight="1" thickBot="1">
      <c r="A102" s="29" t="s">
        <v>183</v>
      </c>
      <c r="B102" s="390" t="s">
        <v>152</v>
      </c>
      <c r="C102" s="391"/>
      <c r="D102" s="392"/>
      <c r="E102" s="112">
        <f>E106+E107+E114+E120+E132</f>
        <v>75400</v>
      </c>
      <c r="F102" s="108">
        <f t="shared" si="15"/>
        <v>75400</v>
      </c>
      <c r="G102" s="13">
        <v>3385.01</v>
      </c>
      <c r="H102" s="32"/>
      <c r="I102" s="23"/>
      <c r="J102" s="23"/>
      <c r="K102" s="84">
        <f>G102</f>
        <v>3385.01</v>
      </c>
      <c r="L102" s="15">
        <f t="shared" si="19"/>
        <v>3385.01</v>
      </c>
      <c r="M102" s="119">
        <f t="shared" si="20"/>
        <v>72014.99</v>
      </c>
      <c r="N102" s="124">
        <f t="shared" si="21"/>
        <v>72014.99</v>
      </c>
      <c r="O102" s="31">
        <v>0</v>
      </c>
      <c r="P102" s="123">
        <v>0</v>
      </c>
    </row>
    <row r="103" spans="1:16" ht="21" customHeight="1" thickBot="1">
      <c r="A103" s="29" t="s">
        <v>184</v>
      </c>
      <c r="B103" s="390" t="s">
        <v>151</v>
      </c>
      <c r="C103" s="391"/>
      <c r="D103" s="392"/>
      <c r="E103" s="112">
        <f>E130</f>
        <v>12750</v>
      </c>
      <c r="F103" s="108">
        <f t="shared" si="15"/>
        <v>12750</v>
      </c>
      <c r="G103" s="32"/>
      <c r="H103" s="32"/>
      <c r="I103" s="23"/>
      <c r="J103" s="23"/>
      <c r="K103" s="84">
        <f aca="true" t="shared" si="22" ref="K103:K121">G103</f>
        <v>0</v>
      </c>
      <c r="L103" s="15">
        <f t="shared" si="19"/>
        <v>0</v>
      </c>
      <c r="M103" s="119">
        <f t="shared" si="20"/>
        <v>12750</v>
      </c>
      <c r="N103" s="124">
        <f t="shared" si="21"/>
        <v>12750</v>
      </c>
      <c r="O103" s="31">
        <v>0</v>
      </c>
      <c r="P103" s="123">
        <v>0</v>
      </c>
    </row>
    <row r="104" spans="1:16" ht="28.5" customHeight="1" thickBot="1">
      <c r="A104" s="29" t="s">
        <v>185</v>
      </c>
      <c r="B104" s="340" t="s">
        <v>171</v>
      </c>
      <c r="C104" s="341"/>
      <c r="D104" s="342"/>
      <c r="E104" s="112"/>
      <c r="F104" s="108"/>
      <c r="G104" s="108"/>
      <c r="H104" s="32"/>
      <c r="I104" s="15">
        <v>13000</v>
      </c>
      <c r="J104" s="23"/>
      <c r="K104" s="84">
        <f>I104</f>
        <v>13000</v>
      </c>
      <c r="L104" s="15">
        <f t="shared" si="19"/>
        <v>13000</v>
      </c>
      <c r="M104" s="119">
        <f t="shared" si="20"/>
        <v>-13000</v>
      </c>
      <c r="N104" s="124">
        <f t="shared" si="21"/>
        <v>-13000</v>
      </c>
      <c r="O104" s="31">
        <v>0</v>
      </c>
      <c r="P104" s="123">
        <v>0</v>
      </c>
    </row>
    <row r="105" spans="1:16" ht="15.75" customHeight="1" thickBot="1">
      <c r="A105" s="29" t="s">
        <v>186</v>
      </c>
      <c r="B105" s="390" t="s">
        <v>154</v>
      </c>
      <c r="C105" s="391"/>
      <c r="D105" s="392"/>
      <c r="E105" s="112"/>
      <c r="F105" s="108"/>
      <c r="G105" s="32"/>
      <c r="H105" s="32"/>
      <c r="I105" s="23"/>
      <c r="J105" s="23"/>
      <c r="K105" s="84">
        <f>G105</f>
        <v>0</v>
      </c>
      <c r="L105" s="15">
        <f t="shared" si="19"/>
        <v>0</v>
      </c>
      <c r="M105" s="119">
        <f t="shared" si="20"/>
        <v>0</v>
      </c>
      <c r="N105" s="124">
        <f t="shared" si="21"/>
        <v>0</v>
      </c>
      <c r="O105" s="31">
        <v>0</v>
      </c>
      <c r="P105" s="123">
        <v>0</v>
      </c>
    </row>
    <row r="106" spans="1:16" ht="17.25" customHeight="1" thickBot="1">
      <c r="A106" s="29" t="s">
        <v>97</v>
      </c>
      <c r="B106" s="511" t="s">
        <v>98</v>
      </c>
      <c r="C106" s="512"/>
      <c r="D106" s="513"/>
      <c r="E106" s="108">
        <v>16300</v>
      </c>
      <c r="F106" s="108">
        <f t="shared" si="15"/>
        <v>16300</v>
      </c>
      <c r="G106" s="13"/>
      <c r="H106" s="13"/>
      <c r="I106" s="13"/>
      <c r="J106" s="13"/>
      <c r="K106" s="84">
        <f t="shared" si="22"/>
        <v>0</v>
      </c>
      <c r="L106" s="15">
        <f t="shared" si="19"/>
        <v>0</v>
      </c>
      <c r="M106" s="119">
        <f t="shared" si="20"/>
        <v>16300</v>
      </c>
      <c r="N106" s="124">
        <f t="shared" si="21"/>
        <v>16300</v>
      </c>
      <c r="O106" s="31">
        <v>0</v>
      </c>
      <c r="P106" s="123">
        <v>0</v>
      </c>
    </row>
    <row r="107" spans="1:16" ht="18" customHeight="1" thickBot="1">
      <c r="A107" s="29" t="s">
        <v>99</v>
      </c>
      <c r="B107" s="359" t="s">
        <v>100</v>
      </c>
      <c r="C107" s="360"/>
      <c r="D107" s="361"/>
      <c r="E107" s="108">
        <v>15000</v>
      </c>
      <c r="F107" s="108">
        <f t="shared" si="15"/>
        <v>15000</v>
      </c>
      <c r="G107" s="13"/>
      <c r="H107" s="13"/>
      <c r="I107" s="13"/>
      <c r="J107" s="13"/>
      <c r="K107" s="84">
        <f t="shared" si="22"/>
        <v>0</v>
      </c>
      <c r="L107" s="15">
        <f t="shared" si="19"/>
        <v>0</v>
      </c>
      <c r="M107" s="119">
        <f t="shared" si="20"/>
        <v>15000</v>
      </c>
      <c r="N107" s="124">
        <f t="shared" si="21"/>
        <v>15000</v>
      </c>
      <c r="O107" s="31">
        <v>0</v>
      </c>
      <c r="P107" s="123">
        <v>0</v>
      </c>
    </row>
    <row r="108" spans="1:16" ht="19.5" customHeight="1" thickBot="1">
      <c r="A108" s="29" t="s">
        <v>101</v>
      </c>
      <c r="B108" s="384" t="s">
        <v>102</v>
      </c>
      <c r="C108" s="385"/>
      <c r="D108" s="386"/>
      <c r="E108" s="108"/>
      <c r="F108" s="108"/>
      <c r="G108" s="13"/>
      <c r="H108" s="13"/>
      <c r="I108" s="13"/>
      <c r="J108" s="13"/>
      <c r="K108" s="84">
        <f t="shared" si="22"/>
        <v>0</v>
      </c>
      <c r="L108" s="15">
        <f t="shared" si="19"/>
        <v>0</v>
      </c>
      <c r="M108" s="119">
        <f t="shared" si="20"/>
        <v>0</v>
      </c>
      <c r="N108" s="124">
        <f t="shared" si="21"/>
        <v>0</v>
      </c>
      <c r="O108" s="31">
        <v>0</v>
      </c>
      <c r="P108" s="123">
        <v>0</v>
      </c>
    </row>
    <row r="109" spans="1:16" ht="18" customHeight="1" thickBot="1">
      <c r="A109" s="29" t="s">
        <v>103</v>
      </c>
      <c r="B109" s="359" t="s">
        <v>104</v>
      </c>
      <c r="C109" s="360"/>
      <c r="D109" s="361"/>
      <c r="E109" s="108"/>
      <c r="F109" s="108"/>
      <c r="G109" s="13"/>
      <c r="H109" s="13"/>
      <c r="I109" s="13"/>
      <c r="J109" s="13"/>
      <c r="K109" s="84">
        <f t="shared" si="22"/>
        <v>0</v>
      </c>
      <c r="L109" s="15">
        <f t="shared" si="19"/>
        <v>0</v>
      </c>
      <c r="M109" s="119">
        <f t="shared" si="20"/>
        <v>0</v>
      </c>
      <c r="N109" s="124">
        <f t="shared" si="21"/>
        <v>0</v>
      </c>
      <c r="O109" s="31">
        <v>0</v>
      </c>
      <c r="P109" s="123">
        <v>0</v>
      </c>
    </row>
    <row r="110" spans="1:16" ht="20.25" customHeight="1" thickBot="1">
      <c r="A110" s="29" t="s">
        <v>105</v>
      </c>
      <c r="B110" s="359" t="s">
        <v>106</v>
      </c>
      <c r="C110" s="360"/>
      <c r="D110" s="361"/>
      <c r="E110" s="108"/>
      <c r="F110" s="108"/>
      <c r="G110" s="13"/>
      <c r="H110" s="13"/>
      <c r="I110" s="13"/>
      <c r="J110" s="13"/>
      <c r="K110" s="84">
        <f t="shared" si="22"/>
        <v>0</v>
      </c>
      <c r="L110" s="15">
        <f t="shared" si="19"/>
        <v>0</v>
      </c>
      <c r="M110" s="119">
        <f t="shared" si="20"/>
        <v>0</v>
      </c>
      <c r="N110" s="124">
        <f t="shared" si="21"/>
        <v>0</v>
      </c>
      <c r="O110" s="31">
        <v>0</v>
      </c>
      <c r="P110" s="123">
        <v>0</v>
      </c>
    </row>
    <row r="111" spans="1:16" ht="18.75" customHeight="1" thickBot="1">
      <c r="A111" s="29" t="s">
        <v>107</v>
      </c>
      <c r="B111" s="384" t="s">
        <v>108</v>
      </c>
      <c r="C111" s="385"/>
      <c r="D111" s="386"/>
      <c r="E111" s="108"/>
      <c r="F111" s="108"/>
      <c r="G111" s="13"/>
      <c r="H111" s="13"/>
      <c r="I111" s="13"/>
      <c r="J111" s="13"/>
      <c r="K111" s="84">
        <f t="shared" si="22"/>
        <v>0</v>
      </c>
      <c r="L111" s="15">
        <f t="shared" si="19"/>
        <v>0</v>
      </c>
      <c r="M111" s="119">
        <f t="shared" si="20"/>
        <v>0</v>
      </c>
      <c r="N111" s="124">
        <f t="shared" si="21"/>
        <v>0</v>
      </c>
      <c r="O111" s="31">
        <v>0</v>
      </c>
      <c r="P111" s="123">
        <v>0</v>
      </c>
    </row>
    <row r="112" spans="1:16" ht="20.25" customHeight="1" thickBot="1">
      <c r="A112" s="29" t="s">
        <v>109</v>
      </c>
      <c r="B112" s="359" t="s">
        <v>110</v>
      </c>
      <c r="C112" s="360"/>
      <c r="D112" s="361"/>
      <c r="E112" s="108"/>
      <c r="F112" s="108"/>
      <c r="G112" s="13"/>
      <c r="H112" s="13"/>
      <c r="I112" s="13"/>
      <c r="J112" s="13"/>
      <c r="K112" s="84">
        <f t="shared" si="22"/>
        <v>0</v>
      </c>
      <c r="L112" s="15">
        <f t="shared" si="19"/>
        <v>0</v>
      </c>
      <c r="M112" s="119">
        <f t="shared" si="20"/>
        <v>0</v>
      </c>
      <c r="N112" s="124">
        <f t="shared" si="21"/>
        <v>0</v>
      </c>
      <c r="O112" s="31">
        <v>0</v>
      </c>
      <c r="P112" s="123">
        <v>0</v>
      </c>
    </row>
    <row r="113" spans="1:16" ht="19.5" customHeight="1" thickBot="1">
      <c r="A113" s="29" t="s">
        <v>111</v>
      </c>
      <c r="B113" s="359" t="s">
        <v>112</v>
      </c>
      <c r="C113" s="360"/>
      <c r="D113" s="361"/>
      <c r="E113" s="108"/>
      <c r="F113" s="108"/>
      <c r="G113" s="13"/>
      <c r="H113" s="13"/>
      <c r="I113" s="13"/>
      <c r="J113" s="13"/>
      <c r="K113" s="84">
        <f t="shared" si="22"/>
        <v>0</v>
      </c>
      <c r="L113" s="15">
        <f t="shared" si="19"/>
        <v>0</v>
      </c>
      <c r="M113" s="119">
        <f t="shared" si="20"/>
        <v>0</v>
      </c>
      <c r="N113" s="124">
        <f t="shared" si="21"/>
        <v>0</v>
      </c>
      <c r="O113" s="31">
        <v>0</v>
      </c>
      <c r="P113" s="123">
        <v>0</v>
      </c>
    </row>
    <row r="114" spans="1:16" ht="18.75" customHeight="1" thickBot="1">
      <c r="A114" s="29" t="s">
        <v>113</v>
      </c>
      <c r="B114" s="359" t="s">
        <v>114</v>
      </c>
      <c r="C114" s="360"/>
      <c r="D114" s="361"/>
      <c r="E114" s="108">
        <v>1500</v>
      </c>
      <c r="F114" s="108">
        <f t="shared" si="15"/>
        <v>1500</v>
      </c>
      <c r="G114" s="13">
        <v>1840.01</v>
      </c>
      <c r="H114" s="13"/>
      <c r="I114" s="13"/>
      <c r="J114" s="13"/>
      <c r="K114" s="84">
        <f t="shared" si="22"/>
        <v>1840.01</v>
      </c>
      <c r="L114" s="15">
        <f t="shared" si="19"/>
        <v>1840.01</v>
      </c>
      <c r="M114" s="119">
        <f t="shared" si="20"/>
        <v>-340.01</v>
      </c>
      <c r="N114" s="124">
        <f t="shared" si="21"/>
        <v>-340.01</v>
      </c>
      <c r="O114" s="31">
        <v>0</v>
      </c>
      <c r="P114" s="123">
        <v>0</v>
      </c>
    </row>
    <row r="115" spans="1:16" ht="18" customHeight="1" thickBot="1">
      <c r="A115" s="29" t="s">
        <v>115</v>
      </c>
      <c r="B115" s="359" t="s">
        <v>116</v>
      </c>
      <c r="C115" s="360"/>
      <c r="D115" s="361"/>
      <c r="E115" s="108"/>
      <c r="F115" s="108"/>
      <c r="G115" s="13"/>
      <c r="H115" s="13"/>
      <c r="I115" s="13"/>
      <c r="J115" s="13"/>
      <c r="K115" s="84">
        <f t="shared" si="22"/>
        <v>0</v>
      </c>
      <c r="L115" s="15">
        <f t="shared" si="19"/>
        <v>0</v>
      </c>
      <c r="M115" s="119">
        <f t="shared" si="20"/>
        <v>0</v>
      </c>
      <c r="N115" s="124">
        <f t="shared" si="21"/>
        <v>0</v>
      </c>
      <c r="O115" s="31">
        <v>0</v>
      </c>
      <c r="P115" s="123">
        <v>0</v>
      </c>
    </row>
    <row r="116" spans="1:16" ht="18" customHeight="1" thickBot="1">
      <c r="A116" s="29" t="s">
        <v>117</v>
      </c>
      <c r="B116" s="359" t="s">
        <v>118</v>
      </c>
      <c r="C116" s="360"/>
      <c r="D116" s="361"/>
      <c r="E116" s="108"/>
      <c r="F116" s="108"/>
      <c r="G116" s="13"/>
      <c r="H116" s="13"/>
      <c r="I116" s="13"/>
      <c r="J116" s="13"/>
      <c r="K116" s="84">
        <f t="shared" si="22"/>
        <v>0</v>
      </c>
      <c r="L116" s="15">
        <f t="shared" si="19"/>
        <v>0</v>
      </c>
      <c r="M116" s="119">
        <f t="shared" si="20"/>
        <v>0</v>
      </c>
      <c r="N116" s="124">
        <f t="shared" si="21"/>
        <v>0</v>
      </c>
      <c r="O116" s="31">
        <v>0</v>
      </c>
      <c r="P116" s="123">
        <v>0</v>
      </c>
    </row>
    <row r="117" spans="1:16" ht="33" customHeight="1" thickBot="1">
      <c r="A117" s="29"/>
      <c r="B117" s="332" t="s">
        <v>119</v>
      </c>
      <c r="C117" s="333"/>
      <c r="D117" s="334"/>
      <c r="E117" s="108"/>
      <c r="F117" s="108"/>
      <c r="G117" s="13"/>
      <c r="H117" s="13"/>
      <c r="I117" s="13"/>
      <c r="J117" s="13"/>
      <c r="K117" s="84">
        <f t="shared" si="22"/>
        <v>0</v>
      </c>
      <c r="L117" s="15">
        <f t="shared" si="19"/>
        <v>0</v>
      </c>
      <c r="M117" s="119">
        <f t="shared" si="20"/>
        <v>0</v>
      </c>
      <c r="N117" s="124">
        <f t="shared" si="21"/>
        <v>0</v>
      </c>
      <c r="O117" s="31">
        <v>0</v>
      </c>
      <c r="P117" s="123">
        <v>0</v>
      </c>
    </row>
    <row r="118" spans="1:16" ht="21.75" customHeight="1" thickBot="1">
      <c r="A118" s="29" t="s">
        <v>120</v>
      </c>
      <c r="B118" s="332" t="s">
        <v>121</v>
      </c>
      <c r="C118" s="333"/>
      <c r="D118" s="334"/>
      <c r="E118" s="108"/>
      <c r="F118" s="108"/>
      <c r="G118" s="13">
        <v>1545</v>
      </c>
      <c r="H118" s="13"/>
      <c r="I118" s="13"/>
      <c r="J118" s="13"/>
      <c r="K118" s="84">
        <f t="shared" si="22"/>
        <v>1545</v>
      </c>
      <c r="L118" s="15">
        <f t="shared" si="19"/>
        <v>1545</v>
      </c>
      <c r="M118" s="119">
        <f t="shared" si="20"/>
        <v>-1545</v>
      </c>
      <c r="N118" s="124">
        <f t="shared" si="21"/>
        <v>-1545</v>
      </c>
      <c r="O118" s="31">
        <v>0</v>
      </c>
      <c r="P118" s="123">
        <v>0</v>
      </c>
    </row>
    <row r="119" spans="1:16" ht="30.75" customHeight="1" thickBot="1">
      <c r="A119" s="29" t="s">
        <v>210</v>
      </c>
      <c r="B119" s="381" t="s">
        <v>122</v>
      </c>
      <c r="C119" s="382"/>
      <c r="D119" s="383"/>
      <c r="E119" s="108"/>
      <c r="F119" s="108"/>
      <c r="G119" s="13"/>
      <c r="H119" s="13"/>
      <c r="I119" s="13"/>
      <c r="J119" s="13"/>
      <c r="K119" s="84">
        <f t="shared" si="22"/>
        <v>0</v>
      </c>
      <c r="L119" s="15">
        <f t="shared" si="19"/>
        <v>0</v>
      </c>
      <c r="M119" s="119">
        <f t="shared" si="20"/>
        <v>0</v>
      </c>
      <c r="N119" s="124">
        <f t="shared" si="21"/>
        <v>0</v>
      </c>
      <c r="O119" s="31">
        <v>0</v>
      </c>
      <c r="P119" s="123">
        <v>0</v>
      </c>
    </row>
    <row r="120" spans="1:16" ht="33" customHeight="1" thickBot="1">
      <c r="A120" s="29" t="s">
        <v>211</v>
      </c>
      <c r="B120" s="381" t="s">
        <v>122</v>
      </c>
      <c r="C120" s="382"/>
      <c r="D120" s="383"/>
      <c r="E120" s="108">
        <v>36600</v>
      </c>
      <c r="F120" s="108">
        <f t="shared" si="15"/>
        <v>36600</v>
      </c>
      <c r="G120" s="13"/>
      <c r="H120" s="13"/>
      <c r="I120" s="13"/>
      <c r="J120" s="13"/>
      <c r="K120" s="84">
        <f t="shared" si="22"/>
        <v>0</v>
      </c>
      <c r="L120" s="15">
        <f t="shared" si="19"/>
        <v>0</v>
      </c>
      <c r="M120" s="119">
        <f t="shared" si="20"/>
        <v>36600</v>
      </c>
      <c r="N120" s="124">
        <f t="shared" si="21"/>
        <v>36600</v>
      </c>
      <c r="O120" s="31">
        <v>0</v>
      </c>
      <c r="P120" s="123">
        <v>0</v>
      </c>
    </row>
    <row r="121" spans="1:16" ht="22.5" customHeight="1" thickBot="1">
      <c r="A121" s="34" t="s">
        <v>123</v>
      </c>
      <c r="B121" s="359" t="s">
        <v>124</v>
      </c>
      <c r="C121" s="360"/>
      <c r="D121" s="361"/>
      <c r="E121" s="108"/>
      <c r="F121" s="108"/>
      <c r="G121" s="13"/>
      <c r="H121" s="13"/>
      <c r="I121" s="13"/>
      <c r="J121" s="13"/>
      <c r="K121" s="84">
        <f t="shared" si="22"/>
        <v>0</v>
      </c>
      <c r="L121" s="15">
        <f t="shared" si="19"/>
        <v>0</v>
      </c>
      <c r="M121" s="119">
        <f t="shared" si="20"/>
        <v>0</v>
      </c>
      <c r="N121" s="124">
        <f t="shared" si="21"/>
        <v>0</v>
      </c>
      <c r="O121" s="31">
        <v>0</v>
      </c>
      <c r="P121" s="123">
        <v>0</v>
      </c>
    </row>
    <row r="122" spans="1:16" ht="15">
      <c r="A122" s="35"/>
      <c r="B122" s="362" t="s">
        <v>30</v>
      </c>
      <c r="C122" s="362"/>
      <c r="D122" s="362"/>
      <c r="E122" s="362"/>
      <c r="F122" s="362"/>
      <c r="G122" s="362"/>
      <c r="H122" s="362"/>
      <c r="I122" s="362"/>
      <c r="J122" s="362"/>
      <c r="K122" s="362"/>
      <c r="L122" s="362"/>
      <c r="M122" s="362"/>
      <c r="N122" s="362"/>
      <c r="O122" s="362"/>
      <c r="P122" s="363"/>
    </row>
    <row r="123" spans="1:16" ht="15.75" thickBot="1">
      <c r="A123" s="36"/>
      <c r="B123" s="364"/>
      <c r="C123" s="364"/>
      <c r="D123" s="364"/>
      <c r="E123" s="364"/>
      <c r="F123" s="364"/>
      <c r="G123" s="364"/>
      <c r="H123" s="364"/>
      <c r="I123" s="364"/>
      <c r="J123" s="364"/>
      <c r="K123" s="364"/>
      <c r="L123" s="364"/>
      <c r="M123" s="364"/>
      <c r="N123" s="364"/>
      <c r="O123" s="364"/>
      <c r="P123" s="365"/>
    </row>
    <row r="124" spans="1:16" ht="15.75" thickBot="1">
      <c r="A124" s="37"/>
      <c r="B124" s="366" t="s">
        <v>14</v>
      </c>
      <c r="C124" s="367"/>
      <c r="D124" s="368"/>
      <c r="E124" s="372" t="s">
        <v>24</v>
      </c>
      <c r="F124" s="374" t="s">
        <v>25</v>
      </c>
      <c r="G124" s="376" t="s">
        <v>31</v>
      </c>
      <c r="H124" s="377"/>
      <c r="I124" s="377"/>
      <c r="J124" s="377"/>
      <c r="K124" s="378"/>
      <c r="L124" s="379" t="s">
        <v>16</v>
      </c>
      <c r="M124" s="379" t="s">
        <v>17</v>
      </c>
      <c r="N124" s="379" t="s">
        <v>18</v>
      </c>
      <c r="O124" s="379" t="s">
        <v>19</v>
      </c>
      <c r="P124" s="379" t="s">
        <v>20</v>
      </c>
    </row>
    <row r="125" spans="1:16" ht="77.25" thickBot="1">
      <c r="A125" s="72"/>
      <c r="B125" s="369"/>
      <c r="C125" s="370"/>
      <c r="D125" s="371"/>
      <c r="E125" s="373"/>
      <c r="F125" s="375"/>
      <c r="G125" s="59" t="s">
        <v>32</v>
      </c>
      <c r="H125" s="59" t="s">
        <v>33</v>
      </c>
      <c r="I125" s="59" t="s">
        <v>34</v>
      </c>
      <c r="J125" s="61" t="s">
        <v>35</v>
      </c>
      <c r="K125" s="85" t="s">
        <v>27</v>
      </c>
      <c r="L125" s="380"/>
      <c r="M125" s="380"/>
      <c r="N125" s="380"/>
      <c r="O125" s="380"/>
      <c r="P125" s="380"/>
    </row>
    <row r="126" spans="1:16" ht="15.75" thickBot="1">
      <c r="A126" s="38"/>
      <c r="B126" s="350">
        <v>1</v>
      </c>
      <c r="C126" s="351"/>
      <c r="D126" s="352"/>
      <c r="E126" s="7" t="s">
        <v>22</v>
      </c>
      <c r="F126" s="65">
        <v>3</v>
      </c>
      <c r="G126" s="65">
        <v>4</v>
      </c>
      <c r="H126" s="65">
        <v>5</v>
      </c>
      <c r="I126" s="5">
        <v>6</v>
      </c>
      <c r="J126" s="5">
        <v>7</v>
      </c>
      <c r="K126" s="89">
        <v>8</v>
      </c>
      <c r="L126" s="69">
        <v>9</v>
      </c>
      <c r="M126" s="5">
        <v>10</v>
      </c>
      <c r="N126" s="69">
        <v>11</v>
      </c>
      <c r="O126" s="5">
        <v>12</v>
      </c>
      <c r="P126" s="69">
        <v>13</v>
      </c>
    </row>
    <row r="127" spans="1:16" ht="28.5" thickBot="1">
      <c r="A127" s="115" t="s">
        <v>125</v>
      </c>
      <c r="B127" s="353" t="s">
        <v>126</v>
      </c>
      <c r="C127" s="354"/>
      <c r="D127" s="355"/>
      <c r="E127" s="108"/>
      <c r="F127" s="108"/>
      <c r="G127" s="13"/>
      <c r="H127" s="13"/>
      <c r="I127" s="13"/>
      <c r="J127" s="13"/>
      <c r="K127" s="84">
        <f aca="true" t="shared" si="23" ref="K127:K141">G127</f>
        <v>0</v>
      </c>
      <c r="L127" s="15">
        <f aca="true" t="shared" si="24" ref="L127:L142">0+K127</f>
        <v>0</v>
      </c>
      <c r="M127" s="119">
        <f aca="true" t="shared" si="25" ref="M127:M142">E127-K127</f>
        <v>0</v>
      </c>
      <c r="N127" s="124">
        <f aca="true" t="shared" si="26" ref="N127:N142">F127-L127</f>
        <v>0</v>
      </c>
      <c r="O127" s="31">
        <v>0</v>
      </c>
      <c r="P127" s="123">
        <v>0</v>
      </c>
    </row>
    <row r="128" spans="1:16" ht="27.75" thickBot="1">
      <c r="A128" s="116" t="s">
        <v>127</v>
      </c>
      <c r="B128" s="356" t="s">
        <v>128</v>
      </c>
      <c r="C128" s="357"/>
      <c r="D128" s="358"/>
      <c r="E128" s="108"/>
      <c r="F128" s="108"/>
      <c r="G128" s="13"/>
      <c r="H128" s="13"/>
      <c r="I128" s="13"/>
      <c r="J128" s="13"/>
      <c r="K128" s="84">
        <f t="shared" si="23"/>
        <v>0</v>
      </c>
      <c r="L128" s="15">
        <f t="shared" si="24"/>
        <v>0</v>
      </c>
      <c r="M128" s="119">
        <f t="shared" si="25"/>
        <v>0</v>
      </c>
      <c r="N128" s="124">
        <f t="shared" si="26"/>
        <v>0</v>
      </c>
      <c r="O128" s="31">
        <v>0</v>
      </c>
      <c r="P128" s="123">
        <v>0</v>
      </c>
    </row>
    <row r="129" spans="1:16" ht="30.75" thickBot="1">
      <c r="A129" s="39" t="s">
        <v>129</v>
      </c>
      <c r="B129" s="332" t="s">
        <v>130</v>
      </c>
      <c r="C129" s="333"/>
      <c r="D129" s="334"/>
      <c r="E129" s="108"/>
      <c r="F129" s="108"/>
      <c r="G129" s="13"/>
      <c r="H129" s="13"/>
      <c r="I129" s="13">
        <v>13000</v>
      </c>
      <c r="J129" s="13"/>
      <c r="K129" s="84">
        <f>I129</f>
        <v>13000</v>
      </c>
      <c r="L129" s="15">
        <f t="shared" si="24"/>
        <v>13000</v>
      </c>
      <c r="M129" s="119">
        <f t="shared" si="25"/>
        <v>-13000</v>
      </c>
      <c r="N129" s="124">
        <f t="shared" si="26"/>
        <v>-13000</v>
      </c>
      <c r="O129" s="31">
        <v>0</v>
      </c>
      <c r="P129" s="123">
        <v>0</v>
      </c>
    </row>
    <row r="130" spans="1:16" ht="30.75" customHeight="1" thickBot="1">
      <c r="A130" s="39" t="s">
        <v>131</v>
      </c>
      <c r="B130" s="500" t="s">
        <v>132</v>
      </c>
      <c r="C130" s="501"/>
      <c r="D130" s="502"/>
      <c r="E130" s="108">
        <v>12750</v>
      </c>
      <c r="F130" s="108">
        <f>0+E130</f>
        <v>12750</v>
      </c>
      <c r="G130" s="13"/>
      <c r="H130" s="13"/>
      <c r="I130" s="13"/>
      <c r="J130" s="13"/>
      <c r="K130" s="84">
        <f t="shared" si="23"/>
        <v>0</v>
      </c>
      <c r="L130" s="15">
        <f t="shared" si="24"/>
        <v>0</v>
      </c>
      <c r="M130" s="119">
        <f t="shared" si="25"/>
        <v>12750</v>
      </c>
      <c r="N130" s="124">
        <f t="shared" si="26"/>
        <v>12750</v>
      </c>
      <c r="O130" s="31">
        <v>0</v>
      </c>
      <c r="P130" s="123">
        <v>0</v>
      </c>
    </row>
    <row r="131" spans="1:16" ht="30.75" thickBot="1">
      <c r="A131" s="73" t="s">
        <v>133</v>
      </c>
      <c r="B131" s="332" t="s">
        <v>134</v>
      </c>
      <c r="C131" s="333"/>
      <c r="D131" s="334"/>
      <c r="E131" s="108"/>
      <c r="F131" s="108"/>
      <c r="G131" s="13"/>
      <c r="H131" s="13"/>
      <c r="I131" s="13"/>
      <c r="J131" s="13"/>
      <c r="K131" s="84">
        <f t="shared" si="23"/>
        <v>0</v>
      </c>
      <c r="L131" s="15">
        <f t="shared" si="24"/>
        <v>0</v>
      </c>
      <c r="M131" s="119">
        <f t="shared" si="25"/>
        <v>0</v>
      </c>
      <c r="N131" s="124">
        <f t="shared" si="26"/>
        <v>0</v>
      </c>
      <c r="O131" s="31">
        <v>0</v>
      </c>
      <c r="P131" s="123">
        <v>0</v>
      </c>
    </row>
    <row r="132" spans="1:16" ht="30.75" thickBot="1">
      <c r="A132" s="73" t="s">
        <v>135</v>
      </c>
      <c r="B132" s="335" t="s">
        <v>136</v>
      </c>
      <c r="C132" s="336"/>
      <c r="D132" s="337"/>
      <c r="E132" s="108">
        <v>6000</v>
      </c>
      <c r="F132" s="108">
        <f>0+E132</f>
        <v>6000</v>
      </c>
      <c r="G132" s="13"/>
      <c r="H132" s="13"/>
      <c r="I132" s="13"/>
      <c r="J132" s="13"/>
      <c r="K132" s="84">
        <f t="shared" si="23"/>
        <v>0</v>
      </c>
      <c r="L132" s="15">
        <f t="shared" si="24"/>
        <v>0</v>
      </c>
      <c r="M132" s="119">
        <f t="shared" si="25"/>
        <v>6000</v>
      </c>
      <c r="N132" s="124">
        <f t="shared" si="26"/>
        <v>6000</v>
      </c>
      <c r="O132" s="31">
        <v>0</v>
      </c>
      <c r="P132" s="123">
        <v>0</v>
      </c>
    </row>
    <row r="133" spans="1:19" ht="32.25" customHeight="1" thickBot="1">
      <c r="A133" s="40">
        <v>15</v>
      </c>
      <c r="B133" s="338" t="s">
        <v>137</v>
      </c>
      <c r="C133" s="338"/>
      <c r="D133" s="339"/>
      <c r="E133" s="114">
        <v>0</v>
      </c>
      <c r="F133" s="108"/>
      <c r="G133" s="32"/>
      <c r="H133" s="32"/>
      <c r="I133" s="32"/>
      <c r="J133" s="32"/>
      <c r="K133" s="84">
        <f t="shared" si="23"/>
        <v>0</v>
      </c>
      <c r="L133" s="15">
        <f t="shared" si="24"/>
        <v>0</v>
      </c>
      <c r="M133" s="119">
        <f t="shared" si="25"/>
        <v>0</v>
      </c>
      <c r="N133" s="124">
        <f t="shared" si="26"/>
        <v>0</v>
      </c>
      <c r="O133" s="31">
        <v>0</v>
      </c>
      <c r="P133" s="123">
        <v>0</v>
      </c>
      <c r="Q133" s="1"/>
      <c r="R133" s="1"/>
      <c r="S133" s="1"/>
    </row>
    <row r="134" spans="1:19" ht="24.75" customHeight="1" thickBot="1">
      <c r="A134" s="29" t="s">
        <v>187</v>
      </c>
      <c r="B134" s="390" t="s">
        <v>152</v>
      </c>
      <c r="C134" s="391"/>
      <c r="D134" s="392"/>
      <c r="E134" s="112"/>
      <c r="F134" s="108"/>
      <c r="G134" s="32"/>
      <c r="H134" s="32"/>
      <c r="I134" s="32"/>
      <c r="J134" s="32"/>
      <c r="K134" s="84">
        <f t="shared" si="23"/>
        <v>0</v>
      </c>
      <c r="L134" s="15">
        <f t="shared" si="24"/>
        <v>0</v>
      </c>
      <c r="M134" s="119">
        <f t="shared" si="25"/>
        <v>0</v>
      </c>
      <c r="N134" s="124">
        <f t="shared" si="26"/>
        <v>0</v>
      </c>
      <c r="O134" s="31">
        <v>0</v>
      </c>
      <c r="P134" s="123">
        <v>0</v>
      </c>
      <c r="Q134" s="1"/>
      <c r="R134" s="1"/>
      <c r="S134" s="1"/>
    </row>
    <row r="135" spans="1:19" ht="29.25" customHeight="1" thickBot="1">
      <c r="A135" s="29" t="s">
        <v>188</v>
      </c>
      <c r="B135" s="340" t="s">
        <v>171</v>
      </c>
      <c r="C135" s="341"/>
      <c r="D135" s="342"/>
      <c r="E135" s="112"/>
      <c r="F135" s="108"/>
      <c r="G135" s="32"/>
      <c r="H135" s="32"/>
      <c r="I135" s="32"/>
      <c r="J135" s="32"/>
      <c r="K135" s="84">
        <f t="shared" si="23"/>
        <v>0</v>
      </c>
      <c r="L135" s="15">
        <f t="shared" si="24"/>
        <v>0</v>
      </c>
      <c r="M135" s="119">
        <f t="shared" si="25"/>
        <v>0</v>
      </c>
      <c r="N135" s="124">
        <f t="shared" si="26"/>
        <v>0</v>
      </c>
      <c r="O135" s="31">
        <v>0</v>
      </c>
      <c r="P135" s="123">
        <v>0</v>
      </c>
      <c r="Q135" s="1"/>
      <c r="R135" s="1"/>
      <c r="S135" s="1"/>
    </row>
    <row r="136" spans="1:19" ht="25.5" customHeight="1" thickBot="1">
      <c r="A136" s="41">
        <v>16</v>
      </c>
      <c r="B136" s="338" t="s">
        <v>138</v>
      </c>
      <c r="C136" s="338"/>
      <c r="D136" s="339"/>
      <c r="E136" s="114">
        <v>0</v>
      </c>
      <c r="F136" s="108"/>
      <c r="G136" s="32"/>
      <c r="H136" s="32"/>
      <c r="I136" s="32"/>
      <c r="J136" s="32"/>
      <c r="K136" s="84">
        <f t="shared" si="23"/>
        <v>0</v>
      </c>
      <c r="L136" s="15">
        <f t="shared" si="24"/>
        <v>0</v>
      </c>
      <c r="M136" s="119">
        <f t="shared" si="25"/>
        <v>0</v>
      </c>
      <c r="N136" s="124">
        <f t="shared" si="26"/>
        <v>0</v>
      </c>
      <c r="O136" s="31">
        <v>0</v>
      </c>
      <c r="P136" s="123">
        <v>0</v>
      </c>
      <c r="Q136" s="1"/>
      <c r="R136" s="1"/>
      <c r="S136" s="1"/>
    </row>
    <row r="137" spans="1:19" ht="20.25" customHeight="1" thickBot="1">
      <c r="A137" s="29" t="s">
        <v>189</v>
      </c>
      <c r="B137" s="390" t="s">
        <v>152</v>
      </c>
      <c r="C137" s="391"/>
      <c r="D137" s="392"/>
      <c r="E137" s="112"/>
      <c r="F137" s="108"/>
      <c r="G137" s="32"/>
      <c r="H137" s="32"/>
      <c r="I137" s="32"/>
      <c r="J137" s="32"/>
      <c r="K137" s="84">
        <f t="shared" si="23"/>
        <v>0</v>
      </c>
      <c r="L137" s="15">
        <f t="shared" si="24"/>
        <v>0</v>
      </c>
      <c r="M137" s="119">
        <f t="shared" si="25"/>
        <v>0</v>
      </c>
      <c r="N137" s="124">
        <f t="shared" si="26"/>
        <v>0</v>
      </c>
      <c r="O137" s="31">
        <v>0</v>
      </c>
      <c r="P137" s="123">
        <v>0</v>
      </c>
      <c r="Q137" s="1"/>
      <c r="R137" s="1"/>
      <c r="S137" s="1"/>
    </row>
    <row r="138" spans="1:19" ht="26.25" customHeight="1" thickBot="1">
      <c r="A138" s="29" t="s">
        <v>190</v>
      </c>
      <c r="B138" s="340" t="s">
        <v>171</v>
      </c>
      <c r="C138" s="341"/>
      <c r="D138" s="342"/>
      <c r="E138" s="112"/>
      <c r="F138" s="108"/>
      <c r="G138" s="32"/>
      <c r="H138" s="32"/>
      <c r="I138" s="32"/>
      <c r="J138" s="32"/>
      <c r="K138" s="84">
        <f t="shared" si="23"/>
        <v>0</v>
      </c>
      <c r="L138" s="15">
        <f t="shared" si="24"/>
        <v>0</v>
      </c>
      <c r="M138" s="119">
        <f t="shared" si="25"/>
        <v>0</v>
      </c>
      <c r="N138" s="124">
        <f t="shared" si="26"/>
        <v>0</v>
      </c>
      <c r="O138" s="31">
        <v>0</v>
      </c>
      <c r="P138" s="123">
        <v>0</v>
      </c>
      <c r="Q138" s="1"/>
      <c r="R138" s="1"/>
      <c r="S138" s="1"/>
    </row>
    <row r="139" spans="1:19" ht="37.5" customHeight="1" thickBot="1">
      <c r="A139" s="40">
        <v>17</v>
      </c>
      <c r="B139" s="338" t="s">
        <v>139</v>
      </c>
      <c r="C139" s="338"/>
      <c r="D139" s="339"/>
      <c r="E139" s="114">
        <v>0</v>
      </c>
      <c r="F139" s="108"/>
      <c r="G139" s="32"/>
      <c r="H139" s="32"/>
      <c r="I139" s="32"/>
      <c r="J139" s="32"/>
      <c r="K139" s="84">
        <f t="shared" si="23"/>
        <v>0</v>
      </c>
      <c r="L139" s="15">
        <f t="shared" si="24"/>
        <v>0</v>
      </c>
      <c r="M139" s="119">
        <f t="shared" si="25"/>
        <v>0</v>
      </c>
      <c r="N139" s="124">
        <f t="shared" si="26"/>
        <v>0</v>
      </c>
      <c r="O139" s="31">
        <v>0</v>
      </c>
      <c r="P139" s="123">
        <v>0</v>
      </c>
      <c r="Q139" s="1"/>
      <c r="R139" s="1"/>
      <c r="S139" s="1"/>
    </row>
    <row r="140" spans="1:19" ht="27" customHeight="1" thickBot="1">
      <c r="A140" s="29" t="s">
        <v>191</v>
      </c>
      <c r="B140" s="340" t="s">
        <v>152</v>
      </c>
      <c r="C140" s="341"/>
      <c r="D140" s="342"/>
      <c r="E140" s="112"/>
      <c r="F140" s="108"/>
      <c r="G140" s="32"/>
      <c r="H140" s="32"/>
      <c r="I140" s="32"/>
      <c r="J140" s="32"/>
      <c r="K140" s="84">
        <f t="shared" si="23"/>
        <v>0</v>
      </c>
      <c r="L140" s="15">
        <f t="shared" si="24"/>
        <v>0</v>
      </c>
      <c r="M140" s="119">
        <f t="shared" si="25"/>
        <v>0</v>
      </c>
      <c r="N140" s="124">
        <f t="shared" si="26"/>
        <v>0</v>
      </c>
      <c r="O140" s="31">
        <v>0</v>
      </c>
      <c r="P140" s="123">
        <v>0</v>
      </c>
      <c r="Q140" s="1"/>
      <c r="R140" s="1"/>
      <c r="S140" s="1"/>
    </row>
    <row r="141" spans="1:19" ht="29.25" customHeight="1" thickBot="1">
      <c r="A141" s="29" t="s">
        <v>192</v>
      </c>
      <c r="B141" s="340" t="s">
        <v>171</v>
      </c>
      <c r="C141" s="341"/>
      <c r="D141" s="342"/>
      <c r="E141" s="112"/>
      <c r="F141" s="108"/>
      <c r="G141" s="32"/>
      <c r="H141" s="32"/>
      <c r="I141" s="32"/>
      <c r="J141" s="32"/>
      <c r="K141" s="84">
        <f t="shared" si="23"/>
        <v>0</v>
      </c>
      <c r="L141" s="15">
        <f t="shared" si="24"/>
        <v>0</v>
      </c>
      <c r="M141" s="119">
        <f t="shared" si="25"/>
        <v>0</v>
      </c>
      <c r="N141" s="124">
        <f t="shared" si="26"/>
        <v>0</v>
      </c>
      <c r="O141" s="31">
        <v>0</v>
      </c>
      <c r="P141" s="123">
        <v>0</v>
      </c>
      <c r="Q141" s="1"/>
      <c r="R141" s="1"/>
      <c r="S141" s="1"/>
    </row>
    <row r="142" spans="1:19" ht="22.5" customHeight="1" thickBot="1">
      <c r="A142" s="40">
        <v>18</v>
      </c>
      <c r="B142" s="323" t="s">
        <v>140</v>
      </c>
      <c r="C142" s="323"/>
      <c r="D142" s="324"/>
      <c r="E142" s="114">
        <v>0</v>
      </c>
      <c r="F142" s="108"/>
      <c r="G142" s="32"/>
      <c r="H142" s="32"/>
      <c r="I142" s="32"/>
      <c r="J142" s="32">
        <v>175976.53</v>
      </c>
      <c r="K142" s="83">
        <f>J142</f>
        <v>175976.53</v>
      </c>
      <c r="L142" s="23">
        <f t="shared" si="24"/>
        <v>175976.53</v>
      </c>
      <c r="M142" s="120">
        <f t="shared" si="25"/>
        <v>-175976.53</v>
      </c>
      <c r="N142" s="125">
        <f t="shared" si="26"/>
        <v>-175976.53</v>
      </c>
      <c r="O142" s="26">
        <v>0</v>
      </c>
      <c r="P142" s="27">
        <v>0</v>
      </c>
      <c r="Q142" s="1"/>
      <c r="R142" s="1"/>
      <c r="S142" s="1"/>
    </row>
    <row r="143" spans="1:19" ht="72" thickBot="1">
      <c r="A143" s="43"/>
      <c r="B143" s="325" t="s">
        <v>141</v>
      </c>
      <c r="C143" s="325"/>
      <c r="D143" s="325"/>
      <c r="E143" s="325"/>
      <c r="F143" s="44"/>
      <c r="G143" s="44" t="s">
        <v>4</v>
      </c>
      <c r="H143" s="67" t="s">
        <v>5</v>
      </c>
      <c r="I143" s="326" t="s">
        <v>6</v>
      </c>
      <c r="J143" s="327"/>
      <c r="K143" s="77" t="s">
        <v>11</v>
      </c>
      <c r="L143" s="5" t="s">
        <v>8</v>
      </c>
      <c r="M143" s="5" t="s">
        <v>9</v>
      </c>
      <c r="N143" s="45" t="s">
        <v>10</v>
      </c>
      <c r="O143" s="46"/>
      <c r="P143" s="68"/>
      <c r="Q143" s="1"/>
      <c r="R143" s="1"/>
      <c r="S143" s="1"/>
    </row>
    <row r="144" spans="1:19" ht="23.25" customHeight="1" thickBot="1">
      <c r="A144" s="42"/>
      <c r="B144" s="328" t="s">
        <v>12</v>
      </c>
      <c r="C144" s="328"/>
      <c r="D144" s="328"/>
      <c r="E144" s="329"/>
      <c r="F144" s="47"/>
      <c r="G144" s="47">
        <v>0</v>
      </c>
      <c r="H144" s="3">
        <v>0</v>
      </c>
      <c r="I144" s="330">
        <v>0</v>
      </c>
      <c r="J144" s="331"/>
      <c r="K144" s="86"/>
      <c r="L144" s="3">
        <v>0</v>
      </c>
      <c r="M144" s="63">
        <v>0</v>
      </c>
      <c r="N144" s="63">
        <v>0</v>
      </c>
      <c r="O144" s="3"/>
      <c r="P144" s="3">
        <v>0</v>
      </c>
      <c r="Q144" s="1"/>
      <c r="R144" s="1"/>
      <c r="S144" s="1"/>
    </row>
    <row r="145" spans="1:19" ht="27" customHeight="1" thickBot="1">
      <c r="A145" s="43"/>
      <c r="B145" s="328" t="s">
        <v>13</v>
      </c>
      <c r="C145" s="328"/>
      <c r="D145" s="328"/>
      <c r="E145" s="329"/>
      <c r="F145" s="3"/>
      <c r="G145" s="3">
        <f>F10+G17-G32-G36-G40-G45-G55-G65-G68-G72-G75-G79-G89-G102-G134-G137-G140</f>
        <v>45332.21000000004</v>
      </c>
      <c r="H145" s="3">
        <f>G18+H10-H29</f>
        <v>612024</v>
      </c>
      <c r="I145" s="330">
        <f>I10+G19-I104</f>
        <v>121752</v>
      </c>
      <c r="J145" s="331"/>
      <c r="K145" s="86">
        <f>O10+G22-J54</f>
        <v>24112.380000000005</v>
      </c>
      <c r="L145" s="3">
        <f>L10+G23-J142</f>
        <v>110796.11000000002</v>
      </c>
      <c r="M145" s="63">
        <v>0</v>
      </c>
      <c r="N145" s="3">
        <v>0</v>
      </c>
      <c r="O145" s="48"/>
      <c r="P145" s="3">
        <f>SUM(G145:O145)</f>
        <v>914016.7000000001</v>
      </c>
      <c r="Q145" s="1"/>
      <c r="R145" s="1"/>
      <c r="S145" s="18"/>
    </row>
    <row r="146" spans="1:19" ht="24.75" customHeight="1" thickBot="1">
      <c r="A146" s="49"/>
      <c r="B146" s="344" t="s">
        <v>212</v>
      </c>
      <c r="C146" s="344"/>
      <c r="D146" s="344"/>
      <c r="E146" s="345"/>
      <c r="F146" s="346"/>
      <c r="G146" s="346"/>
      <c r="H146" s="346"/>
      <c r="I146" s="346"/>
      <c r="J146" s="346"/>
      <c r="K146" s="346"/>
      <c r="L146" s="346"/>
      <c r="M146" s="346"/>
      <c r="N146" s="347"/>
      <c r="O146" s="348"/>
      <c r="P146" s="50">
        <f>P145</f>
        <v>914016.7000000001</v>
      </c>
      <c r="Q146" s="1"/>
      <c r="R146" s="18"/>
      <c r="S146" s="18"/>
    </row>
    <row r="147" spans="1:19" ht="15">
      <c r="A147" s="1"/>
      <c r="B147" s="51"/>
      <c r="C147" s="51"/>
      <c r="D147" s="51"/>
      <c r="E147" s="51"/>
      <c r="F147" s="52"/>
      <c r="G147" s="52"/>
      <c r="H147" s="52"/>
      <c r="I147" s="52"/>
      <c r="J147" s="52"/>
      <c r="K147" s="87"/>
      <c r="L147" s="52"/>
      <c r="M147" s="52"/>
      <c r="N147" s="52"/>
      <c r="O147" s="53"/>
      <c r="P147" s="54"/>
      <c r="Q147" s="1"/>
      <c r="R147" s="18"/>
      <c r="S147" s="1"/>
    </row>
    <row r="148" spans="1:19" ht="15">
      <c r="A148" s="1"/>
      <c r="B148" s="343" t="s">
        <v>142</v>
      </c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9" t="s">
        <v>143</v>
      </c>
      <c r="P148" s="349"/>
      <c r="Q148" s="1"/>
      <c r="R148" s="1"/>
      <c r="S148" s="18">
        <v>365352.1499999948</v>
      </c>
    </row>
    <row r="149" spans="1:19" ht="15">
      <c r="A149" s="1"/>
      <c r="B149" s="343" t="s">
        <v>144</v>
      </c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343"/>
      <c r="O149" s="343" t="s">
        <v>145</v>
      </c>
      <c r="P149" s="343"/>
      <c r="Q149" s="1"/>
      <c r="R149" s="1"/>
      <c r="S149" s="1"/>
    </row>
    <row r="150" spans="1:19" ht="15">
      <c r="A150" s="1"/>
      <c r="B150" s="62"/>
      <c r="C150" s="62"/>
      <c r="D150" s="62"/>
      <c r="E150" s="62"/>
      <c r="F150" s="62"/>
      <c r="G150" s="62"/>
      <c r="H150" s="62"/>
      <c r="I150" s="62"/>
      <c r="J150" s="55"/>
      <c r="K150" s="88"/>
      <c r="L150" s="55"/>
      <c r="M150" s="62"/>
      <c r="N150" s="62"/>
      <c r="O150" s="62"/>
      <c r="P150" s="55"/>
      <c r="Q150" s="1"/>
      <c r="R150" s="18"/>
      <c r="S150" s="1"/>
    </row>
    <row r="152" spans="1:19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8"/>
      <c r="S152" s="1"/>
    </row>
    <row r="153" spans="1:19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8"/>
      <c r="S153" s="1"/>
    </row>
    <row r="154" spans="1:19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8"/>
      <c r="O154" s="1"/>
      <c r="P154" s="1"/>
      <c r="Q154" s="1"/>
      <c r="R154" s="1"/>
      <c r="S154" s="1"/>
    </row>
    <row r="155" spans="12:16" ht="15">
      <c r="L155" s="1"/>
      <c r="M155" s="1"/>
      <c r="N155" s="18"/>
      <c r="O155" s="1"/>
      <c r="P155" s="18"/>
    </row>
    <row r="156" spans="12:16" ht="15">
      <c r="L156" s="1"/>
      <c r="M156" s="1"/>
      <c r="N156" s="58"/>
      <c r="O156" s="1"/>
      <c r="P156" s="18"/>
    </row>
    <row r="157" spans="12:16" ht="15">
      <c r="L157" s="57"/>
      <c r="M157" s="1"/>
      <c r="N157" s="1"/>
      <c r="O157" s="1"/>
      <c r="P157" s="1"/>
    </row>
    <row r="158" spans="12:16" ht="15">
      <c r="L158" s="18"/>
      <c r="M158" s="18"/>
      <c r="N158" s="1"/>
      <c r="O158" s="1"/>
      <c r="P158" s="1"/>
    </row>
  </sheetData>
  <sheetProtection/>
  <mergeCells count="199">
    <mergeCell ref="B58:D58"/>
    <mergeCell ref="B65:D65"/>
    <mergeCell ref="B66:D66"/>
    <mergeCell ref="B120:D120"/>
    <mergeCell ref="B130:D130"/>
    <mergeCell ref="B57:D57"/>
    <mergeCell ref="B134:D134"/>
    <mergeCell ref="B135:D135"/>
    <mergeCell ref="B137:D137"/>
    <mergeCell ref="B81:D81"/>
    <mergeCell ref="B89:D89"/>
    <mergeCell ref="B90:D90"/>
    <mergeCell ref="B91:D91"/>
    <mergeCell ref="B92:D92"/>
    <mergeCell ref="B67:D67"/>
    <mergeCell ref="B71:D71"/>
    <mergeCell ref="B74:D74"/>
    <mergeCell ref="B78:D78"/>
    <mergeCell ref="B80:D80"/>
    <mergeCell ref="B99:D99"/>
    <mergeCell ref="B100:D100"/>
    <mergeCell ref="B101:D101"/>
    <mergeCell ref="B106:D106"/>
    <mergeCell ref="B107:D107"/>
    <mergeCell ref="B56:D56"/>
    <mergeCell ref="B55:D55"/>
    <mergeCell ref="B69:D69"/>
    <mergeCell ref="B68:D68"/>
    <mergeCell ref="B70:D70"/>
    <mergeCell ref="B1:P1"/>
    <mergeCell ref="B2:P2"/>
    <mergeCell ref="B3:P3"/>
    <mergeCell ref="B4:P4"/>
    <mergeCell ref="B5:E5"/>
    <mergeCell ref="F5:O5"/>
    <mergeCell ref="B9:E9"/>
    <mergeCell ref="F9:G9"/>
    <mergeCell ref="I9:J9"/>
    <mergeCell ref="B10:E10"/>
    <mergeCell ref="F10:G10"/>
    <mergeCell ref="I10:J10"/>
    <mergeCell ref="B6:E6"/>
    <mergeCell ref="F6:O6"/>
    <mergeCell ref="B7:E7"/>
    <mergeCell ref="F7:P7"/>
    <mergeCell ref="B8:E8"/>
    <mergeCell ref="F8:G8"/>
    <mergeCell ref="I8:J8"/>
    <mergeCell ref="P12:P13"/>
    <mergeCell ref="B14:D14"/>
    <mergeCell ref="G14:J14"/>
    <mergeCell ref="A15:A16"/>
    <mergeCell ref="B15:D16"/>
    <mergeCell ref="G15:J15"/>
    <mergeCell ref="G16:J16"/>
    <mergeCell ref="B11:E11"/>
    <mergeCell ref="F11:P11"/>
    <mergeCell ref="A12:A13"/>
    <mergeCell ref="B12:E13"/>
    <mergeCell ref="F12:F13"/>
    <mergeCell ref="G12:K13"/>
    <mergeCell ref="L12:L13"/>
    <mergeCell ref="M12:M13"/>
    <mergeCell ref="N12:N13"/>
    <mergeCell ref="O12:O13"/>
    <mergeCell ref="B20:D20"/>
    <mergeCell ref="G20:J20"/>
    <mergeCell ref="B21:D21"/>
    <mergeCell ref="G21:J21"/>
    <mergeCell ref="B22:D22"/>
    <mergeCell ref="G22:J22"/>
    <mergeCell ref="B17:D17"/>
    <mergeCell ref="G17:J17"/>
    <mergeCell ref="B18:D18"/>
    <mergeCell ref="G18:J18"/>
    <mergeCell ref="B19:D19"/>
    <mergeCell ref="G19:J19"/>
    <mergeCell ref="M26:M27"/>
    <mergeCell ref="N26:N27"/>
    <mergeCell ref="O26:O27"/>
    <mergeCell ref="P26:P27"/>
    <mergeCell ref="B28:D28"/>
    <mergeCell ref="B29:D29"/>
    <mergeCell ref="B23:D23"/>
    <mergeCell ref="G23:J23"/>
    <mergeCell ref="A24:A25"/>
    <mergeCell ref="B24:P25"/>
    <mergeCell ref="A26:A27"/>
    <mergeCell ref="B26:D27"/>
    <mergeCell ref="E26:E27"/>
    <mergeCell ref="F26:F27"/>
    <mergeCell ref="G26:K26"/>
    <mergeCell ref="L26:L27"/>
    <mergeCell ref="B44:D44"/>
    <mergeCell ref="B48:D48"/>
    <mergeCell ref="B49:D49"/>
    <mergeCell ref="B50:D50"/>
    <mergeCell ref="B51:D51"/>
    <mergeCell ref="B54:D54"/>
    <mergeCell ref="B30:D30"/>
    <mergeCell ref="B34:D34"/>
    <mergeCell ref="B38:D38"/>
    <mergeCell ref="B41:D41"/>
    <mergeCell ref="B42:D42"/>
    <mergeCell ref="B43:D43"/>
    <mergeCell ref="B31:D31"/>
    <mergeCell ref="B32:D32"/>
    <mergeCell ref="B33:D33"/>
    <mergeCell ref="B35:D35"/>
    <mergeCell ref="B36:D36"/>
    <mergeCell ref="B37:D37"/>
    <mergeCell ref="B39:D39"/>
    <mergeCell ref="B40:D40"/>
    <mergeCell ref="B52:D52"/>
    <mergeCell ref="B45:D45"/>
    <mergeCell ref="B46:D46"/>
    <mergeCell ref="A83:A84"/>
    <mergeCell ref="B83:P84"/>
    <mergeCell ref="B59:D59"/>
    <mergeCell ref="B60:D60"/>
    <mergeCell ref="B61:D61"/>
    <mergeCell ref="B62:D62"/>
    <mergeCell ref="B63:D63"/>
    <mergeCell ref="B64:D64"/>
    <mergeCell ref="B73:D73"/>
    <mergeCell ref="B76:D76"/>
    <mergeCell ref="B75:D75"/>
    <mergeCell ref="M85:M86"/>
    <mergeCell ref="N85:N86"/>
    <mergeCell ref="O85:O86"/>
    <mergeCell ref="P85:P86"/>
    <mergeCell ref="B87:D87"/>
    <mergeCell ref="B88:D88"/>
    <mergeCell ref="A85:A86"/>
    <mergeCell ref="B85:D86"/>
    <mergeCell ref="E85:E86"/>
    <mergeCell ref="F85:F86"/>
    <mergeCell ref="G85:K85"/>
    <mergeCell ref="L85:L86"/>
    <mergeCell ref="B108:D108"/>
    <mergeCell ref="B93:D93"/>
    <mergeCell ref="B94:D94"/>
    <mergeCell ref="B95:D95"/>
    <mergeCell ref="B96:D96"/>
    <mergeCell ref="B97:D97"/>
    <mergeCell ref="B98:D98"/>
    <mergeCell ref="B102:D102"/>
    <mergeCell ref="B103:D103"/>
    <mergeCell ref="B104:D104"/>
    <mergeCell ref="B105:D105"/>
    <mergeCell ref="B114:D114"/>
    <mergeCell ref="B115:D115"/>
    <mergeCell ref="B116:D116"/>
    <mergeCell ref="B117:D117"/>
    <mergeCell ref="B118:D118"/>
    <mergeCell ref="B119:D119"/>
    <mergeCell ref="B109:D109"/>
    <mergeCell ref="B110:D110"/>
    <mergeCell ref="B111:D111"/>
    <mergeCell ref="B112:D112"/>
    <mergeCell ref="B113:D113"/>
    <mergeCell ref="B126:D126"/>
    <mergeCell ref="B127:D127"/>
    <mergeCell ref="B128:D128"/>
    <mergeCell ref="B129:D129"/>
    <mergeCell ref="B121:D121"/>
    <mergeCell ref="B122:P123"/>
    <mergeCell ref="B124:D125"/>
    <mergeCell ref="E124:E125"/>
    <mergeCell ref="F124:F125"/>
    <mergeCell ref="G124:K124"/>
    <mergeCell ref="L124:L125"/>
    <mergeCell ref="M124:M125"/>
    <mergeCell ref="N124:N125"/>
    <mergeCell ref="O124:O125"/>
    <mergeCell ref="P124:P125"/>
    <mergeCell ref="B149:E149"/>
    <mergeCell ref="F149:N149"/>
    <mergeCell ref="O149:P149"/>
    <mergeCell ref="B145:E145"/>
    <mergeCell ref="I145:J145"/>
    <mergeCell ref="B146:E146"/>
    <mergeCell ref="F146:O146"/>
    <mergeCell ref="B148:E148"/>
    <mergeCell ref="F148:N148"/>
    <mergeCell ref="O148:P148"/>
    <mergeCell ref="B142:D142"/>
    <mergeCell ref="B143:E143"/>
    <mergeCell ref="I143:J143"/>
    <mergeCell ref="B144:E144"/>
    <mergeCell ref="I144:J144"/>
    <mergeCell ref="B131:D131"/>
    <mergeCell ref="B132:D132"/>
    <mergeCell ref="B133:D133"/>
    <mergeCell ref="B136:D136"/>
    <mergeCell ref="B139:D139"/>
    <mergeCell ref="B140:D140"/>
    <mergeCell ref="B141:D141"/>
    <mergeCell ref="B138:D138"/>
  </mergeCells>
  <printOptions/>
  <pageMargins left="0.2362204724409449" right="0.15748031496062992" top="0.4330708661417323" bottom="0.32" header="0.2755905511811024" footer="0.17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57"/>
  <sheetViews>
    <sheetView zoomScalePageLayoutView="0" workbookViewId="0" topLeftCell="A89">
      <selection activeCell="L101" sqref="L101"/>
    </sheetView>
  </sheetViews>
  <sheetFormatPr defaultColWidth="9.140625" defaultRowHeight="15"/>
  <cols>
    <col min="1" max="1" width="4.140625" style="174" customWidth="1"/>
    <col min="2" max="3" width="9.140625" style="174" customWidth="1"/>
    <col min="4" max="4" width="9.28125" style="174" customWidth="1"/>
    <col min="5" max="5" width="12.28125" style="174" customWidth="1"/>
    <col min="6" max="6" width="12.00390625" style="174" customWidth="1"/>
    <col min="7" max="7" width="13.57421875" style="174" customWidth="1"/>
    <col min="8" max="8" width="11.00390625" style="174" customWidth="1"/>
    <col min="9" max="9" width="10.7109375" style="174" customWidth="1"/>
    <col min="10" max="10" width="12.28125" style="174" customWidth="1"/>
    <col min="11" max="11" width="12.57421875" style="174" customWidth="1"/>
    <col min="12" max="12" width="13.28125" style="174" customWidth="1"/>
    <col min="13" max="13" width="11.57421875" style="174" customWidth="1"/>
    <col min="14" max="14" width="13.00390625" style="174" customWidth="1"/>
    <col min="15" max="15" width="9.140625" style="174" customWidth="1"/>
    <col min="16" max="16" width="10.421875" style="174" customWidth="1"/>
    <col min="17" max="17" width="9.140625" style="174" customWidth="1"/>
    <col min="18" max="18" width="18.140625" style="174" customWidth="1"/>
    <col min="19" max="19" width="11.140625" style="174" bestFit="1" customWidth="1"/>
    <col min="20" max="16384" width="9.140625" style="174" customWidth="1"/>
  </cols>
  <sheetData>
    <row r="1" spans="1:16" ht="15">
      <c r="A1" s="173"/>
      <c r="B1" s="485" t="s">
        <v>0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</row>
    <row r="2" spans="1:16" ht="15">
      <c r="A2" s="173"/>
      <c r="B2" s="520" t="s">
        <v>246</v>
      </c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</row>
    <row r="3" spans="1:16" ht="15.75" thickBot="1">
      <c r="A3" s="173"/>
      <c r="B3" s="521" t="s">
        <v>1</v>
      </c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</row>
    <row r="4" spans="1:16" ht="15.75" thickBot="1">
      <c r="A4" s="173"/>
      <c r="B4" s="522" t="s">
        <v>2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</row>
    <row r="5" spans="1:16" ht="27.75" customHeight="1" thickBot="1">
      <c r="A5" s="2"/>
      <c r="B5" s="523" t="s">
        <v>193</v>
      </c>
      <c r="C5" s="524"/>
      <c r="D5" s="524"/>
      <c r="E5" s="525"/>
      <c r="F5" s="346"/>
      <c r="G5" s="346"/>
      <c r="H5" s="346"/>
      <c r="I5" s="346"/>
      <c r="J5" s="346"/>
      <c r="K5" s="346"/>
      <c r="L5" s="346"/>
      <c r="M5" s="346"/>
      <c r="N5" s="346"/>
      <c r="O5" s="489"/>
      <c r="P5" s="3">
        <v>365352.15</v>
      </c>
    </row>
    <row r="6" spans="1:16" ht="25.5" customHeight="1" thickBot="1">
      <c r="A6" s="2"/>
      <c r="B6" s="523" t="s">
        <v>249</v>
      </c>
      <c r="C6" s="524"/>
      <c r="D6" s="524"/>
      <c r="E6" s="525"/>
      <c r="F6" s="346"/>
      <c r="G6" s="346"/>
      <c r="H6" s="346"/>
      <c r="I6" s="346"/>
      <c r="J6" s="346"/>
      <c r="K6" s="346"/>
      <c r="L6" s="346"/>
      <c r="M6" s="346"/>
      <c r="N6" s="346"/>
      <c r="O6" s="489"/>
      <c r="P6" s="294">
        <f>P10</f>
        <v>147851.66999999998</v>
      </c>
    </row>
    <row r="7" spans="1:16" ht="15.75" thickBot="1">
      <c r="A7" s="2"/>
      <c r="B7" s="526"/>
      <c r="C7" s="527"/>
      <c r="D7" s="527"/>
      <c r="E7" s="528"/>
      <c r="F7" s="529"/>
      <c r="G7" s="529"/>
      <c r="H7" s="529"/>
      <c r="I7" s="529"/>
      <c r="J7" s="529"/>
      <c r="K7" s="529"/>
      <c r="L7" s="529"/>
      <c r="M7" s="529"/>
      <c r="N7" s="530"/>
      <c r="O7" s="530"/>
      <c r="P7" s="531"/>
    </row>
    <row r="8" spans="1:16" ht="60.75" thickBot="1">
      <c r="A8" s="4"/>
      <c r="B8" s="523" t="s">
        <v>3</v>
      </c>
      <c r="C8" s="524"/>
      <c r="D8" s="524"/>
      <c r="E8" s="525"/>
      <c r="F8" s="532" t="s">
        <v>4</v>
      </c>
      <c r="G8" s="533"/>
      <c r="H8" s="175" t="s">
        <v>5</v>
      </c>
      <c r="I8" s="532" t="s">
        <v>6</v>
      </c>
      <c r="J8" s="533"/>
      <c r="K8" s="176" t="s">
        <v>7</v>
      </c>
      <c r="L8" s="175" t="s">
        <v>8</v>
      </c>
      <c r="M8" s="302" t="s">
        <v>9</v>
      </c>
      <c r="N8" s="300" t="s">
        <v>10</v>
      </c>
      <c r="O8" s="178" t="s">
        <v>11</v>
      </c>
      <c r="P8" s="179"/>
    </row>
    <row r="9" spans="1:16" ht="15.75" thickBot="1">
      <c r="A9" s="2"/>
      <c r="B9" s="490" t="s">
        <v>12</v>
      </c>
      <c r="C9" s="491"/>
      <c r="D9" s="491"/>
      <c r="E9" s="492"/>
      <c r="F9" s="330">
        <v>0</v>
      </c>
      <c r="G9" s="331"/>
      <c r="H9" s="3">
        <v>0</v>
      </c>
      <c r="I9" s="330">
        <v>0</v>
      </c>
      <c r="J9" s="331"/>
      <c r="K9" s="78">
        <v>0</v>
      </c>
      <c r="L9" s="3">
        <v>0</v>
      </c>
      <c r="M9" s="293">
        <v>0</v>
      </c>
      <c r="N9" s="3">
        <v>0</v>
      </c>
      <c r="O9" s="75">
        <v>0</v>
      </c>
      <c r="P9" s="294">
        <v>0</v>
      </c>
    </row>
    <row r="10" spans="1:16" ht="27" customHeight="1" thickBot="1">
      <c r="A10" s="2"/>
      <c r="B10" s="490" t="s">
        <v>13</v>
      </c>
      <c r="C10" s="491"/>
      <c r="D10" s="491"/>
      <c r="E10" s="492"/>
      <c r="F10" s="330">
        <v>-4089.92</v>
      </c>
      <c r="G10" s="331"/>
      <c r="H10" s="3">
        <v>-78640.23</v>
      </c>
      <c r="I10" s="330">
        <v>8149</v>
      </c>
      <c r="J10" s="331"/>
      <c r="K10" s="78">
        <v>0</v>
      </c>
      <c r="L10" s="3">
        <v>210431.27</v>
      </c>
      <c r="M10" s="293">
        <v>0</v>
      </c>
      <c r="N10" s="3">
        <v>0</v>
      </c>
      <c r="O10" s="3">
        <v>12001.55</v>
      </c>
      <c r="P10" s="294">
        <f>SUM(F10:O10)</f>
        <v>147851.66999999998</v>
      </c>
    </row>
    <row r="11" spans="1:16" ht="15.75" thickBot="1">
      <c r="A11" s="296"/>
      <c r="B11" s="546"/>
      <c r="C11" s="547"/>
      <c r="D11" s="547"/>
      <c r="E11" s="547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9"/>
    </row>
    <row r="12" spans="1:16" ht="15">
      <c r="A12" s="446"/>
      <c r="B12" s="550" t="s">
        <v>14</v>
      </c>
      <c r="C12" s="551"/>
      <c r="D12" s="551"/>
      <c r="E12" s="552"/>
      <c r="F12" s="534"/>
      <c r="G12" s="556" t="s">
        <v>15</v>
      </c>
      <c r="H12" s="548"/>
      <c r="I12" s="548"/>
      <c r="J12" s="548"/>
      <c r="K12" s="549"/>
      <c r="L12" s="534" t="s">
        <v>16</v>
      </c>
      <c r="M12" s="534" t="s">
        <v>17</v>
      </c>
      <c r="N12" s="534" t="s">
        <v>18</v>
      </c>
      <c r="O12" s="534" t="s">
        <v>19</v>
      </c>
      <c r="P12" s="534" t="s">
        <v>20</v>
      </c>
    </row>
    <row r="13" spans="1:16" ht="15.75" thickBot="1">
      <c r="A13" s="447"/>
      <c r="B13" s="553"/>
      <c r="C13" s="554"/>
      <c r="D13" s="554"/>
      <c r="E13" s="555"/>
      <c r="F13" s="535"/>
      <c r="G13" s="557"/>
      <c r="H13" s="558"/>
      <c r="I13" s="558"/>
      <c r="J13" s="558"/>
      <c r="K13" s="559"/>
      <c r="L13" s="535"/>
      <c r="M13" s="535"/>
      <c r="N13" s="535"/>
      <c r="O13" s="535"/>
      <c r="P13" s="535"/>
    </row>
    <row r="14" spans="1:16" ht="15.75" thickBot="1">
      <c r="A14" s="2"/>
      <c r="B14" s="536" t="s">
        <v>21</v>
      </c>
      <c r="C14" s="537"/>
      <c r="D14" s="538"/>
      <c r="E14" s="180" t="s">
        <v>22</v>
      </c>
      <c r="F14" s="306">
        <v>3</v>
      </c>
      <c r="G14" s="539">
        <v>4</v>
      </c>
      <c r="H14" s="529"/>
      <c r="I14" s="529"/>
      <c r="J14" s="531"/>
      <c r="K14" s="182">
        <v>5</v>
      </c>
      <c r="L14" s="305">
        <v>6</v>
      </c>
      <c r="M14" s="175">
        <v>7</v>
      </c>
      <c r="N14" s="305">
        <v>8</v>
      </c>
      <c r="O14" s="305">
        <v>9</v>
      </c>
      <c r="P14" s="175">
        <v>10</v>
      </c>
    </row>
    <row r="15" spans="1:16" ht="43.5" thickBot="1">
      <c r="A15" s="446"/>
      <c r="B15" s="540" t="s">
        <v>23</v>
      </c>
      <c r="C15" s="541"/>
      <c r="D15" s="542"/>
      <c r="E15" s="8" t="s">
        <v>24</v>
      </c>
      <c r="F15" s="8" t="s">
        <v>25</v>
      </c>
      <c r="G15" s="471" t="s">
        <v>26</v>
      </c>
      <c r="H15" s="472"/>
      <c r="I15" s="472"/>
      <c r="J15" s="473"/>
      <c r="K15" s="79" t="s">
        <v>27</v>
      </c>
      <c r="L15" s="9" t="s">
        <v>26</v>
      </c>
      <c r="M15" s="10" t="s">
        <v>28</v>
      </c>
      <c r="N15" s="10" t="s">
        <v>26</v>
      </c>
      <c r="O15" s="10" t="s">
        <v>26</v>
      </c>
      <c r="P15" s="11" t="s">
        <v>26</v>
      </c>
    </row>
    <row r="16" spans="1:16" ht="33" customHeight="1" thickBot="1">
      <c r="A16" s="447"/>
      <c r="B16" s="543"/>
      <c r="C16" s="544"/>
      <c r="D16" s="545"/>
      <c r="E16" s="109">
        <f>SUM(E17:E23)</f>
        <v>1486769</v>
      </c>
      <c r="F16" s="110">
        <f>SUM(F17:F23)</f>
        <v>14361329</v>
      </c>
      <c r="G16" s="474">
        <f>G17+G18+G19+G20+G21+G22+G23</f>
        <v>2072186.39</v>
      </c>
      <c r="H16" s="475"/>
      <c r="I16" s="475"/>
      <c r="J16" s="476"/>
      <c r="K16" s="299">
        <f>SUM(K17:K23)</f>
        <v>2072186.39</v>
      </c>
      <c r="L16" s="299">
        <f>SUM(L17:L23)</f>
        <v>15726944.75</v>
      </c>
      <c r="M16" s="299">
        <f>SUM(M17:M23)</f>
        <v>-585417.39</v>
      </c>
      <c r="N16" s="299">
        <f>SUM(N17:N23)</f>
        <v>-1365615.749999999</v>
      </c>
      <c r="O16" s="12">
        <v>0</v>
      </c>
      <c r="P16" s="12">
        <v>0</v>
      </c>
    </row>
    <row r="17" spans="1:18" ht="54" customHeight="1" thickBot="1">
      <c r="A17" s="184" t="s">
        <v>195</v>
      </c>
      <c r="B17" s="497" t="s">
        <v>146</v>
      </c>
      <c r="C17" s="498"/>
      <c r="D17" s="499"/>
      <c r="E17" s="108">
        <v>695728</v>
      </c>
      <c r="F17" s="108">
        <f>7450753+E17</f>
        <v>8146481</v>
      </c>
      <c r="G17" s="450">
        <v>1482688.99</v>
      </c>
      <c r="H17" s="451"/>
      <c r="I17" s="451"/>
      <c r="J17" s="452"/>
      <c r="K17" s="298">
        <f aca="true" t="shared" si="0" ref="K17:K22">G17</f>
        <v>1482688.99</v>
      </c>
      <c r="L17" s="15">
        <f>7949737.37+K17</f>
        <v>9432426.36</v>
      </c>
      <c r="M17" s="119">
        <f>E17-K17</f>
        <v>-786960.99</v>
      </c>
      <c r="N17" s="124">
        <f>F17-L17</f>
        <v>-1285945.3599999994</v>
      </c>
      <c r="O17" s="16">
        <v>0</v>
      </c>
      <c r="P17" s="16">
        <v>0</v>
      </c>
      <c r="Q17" s="173"/>
      <c r="R17" s="18">
        <v>365352.1499999948</v>
      </c>
    </row>
    <row r="18" spans="1:18" ht="43.5" customHeight="1" thickBot="1">
      <c r="A18" s="185" t="s">
        <v>196</v>
      </c>
      <c r="B18" s="566" t="s">
        <v>216</v>
      </c>
      <c r="C18" s="567"/>
      <c r="D18" s="568"/>
      <c r="E18" s="104">
        <v>780041</v>
      </c>
      <c r="F18" s="108">
        <f>5354807+E18</f>
        <v>6134848</v>
      </c>
      <c r="G18" s="450">
        <v>348270</v>
      </c>
      <c r="H18" s="451"/>
      <c r="I18" s="451"/>
      <c r="J18" s="452"/>
      <c r="K18" s="298">
        <f t="shared" si="0"/>
        <v>348270</v>
      </c>
      <c r="L18" s="15">
        <f>4463701.1+K18</f>
        <v>4811971.1</v>
      </c>
      <c r="M18" s="119">
        <f>E18-K18</f>
        <v>431771</v>
      </c>
      <c r="N18" s="124">
        <f>F18-L18</f>
        <v>1322876.9000000004</v>
      </c>
      <c r="O18" s="16">
        <v>0</v>
      </c>
      <c r="P18" s="16">
        <v>0</v>
      </c>
      <c r="Q18" s="173"/>
      <c r="R18" s="173"/>
    </row>
    <row r="19" spans="1:18" ht="45.75" customHeight="1" thickBot="1">
      <c r="A19" s="185" t="s">
        <v>197</v>
      </c>
      <c r="B19" s="569" t="s">
        <v>149</v>
      </c>
      <c r="C19" s="570"/>
      <c r="D19" s="571"/>
      <c r="E19" s="186"/>
      <c r="F19" s="108">
        <f>0+E19</f>
        <v>0</v>
      </c>
      <c r="G19" s="450">
        <v>26000</v>
      </c>
      <c r="H19" s="451"/>
      <c r="I19" s="451"/>
      <c r="J19" s="452"/>
      <c r="K19" s="298">
        <f t="shared" si="0"/>
        <v>26000</v>
      </c>
      <c r="L19" s="15">
        <f>140320+K19</f>
        <v>166320</v>
      </c>
      <c r="M19" s="119">
        <f aca="true" t="shared" si="1" ref="M19:N23">E19-K19</f>
        <v>-26000</v>
      </c>
      <c r="N19" s="124">
        <f t="shared" si="1"/>
        <v>-166320</v>
      </c>
      <c r="O19" s="16">
        <v>0</v>
      </c>
      <c r="P19" s="17">
        <v>0</v>
      </c>
      <c r="Q19" s="173"/>
      <c r="R19" s="173"/>
    </row>
    <row r="20" spans="1:18" ht="57.75" customHeight="1" thickBot="1">
      <c r="A20" s="187" t="s">
        <v>198</v>
      </c>
      <c r="B20" s="560" t="s">
        <v>147</v>
      </c>
      <c r="C20" s="561"/>
      <c r="D20" s="562"/>
      <c r="E20" s="188"/>
      <c r="F20" s="108">
        <f>0+E20</f>
        <v>0</v>
      </c>
      <c r="G20" s="450"/>
      <c r="H20" s="451"/>
      <c r="I20" s="451"/>
      <c r="J20" s="452"/>
      <c r="K20" s="298">
        <f t="shared" si="0"/>
        <v>0</v>
      </c>
      <c r="L20" s="15">
        <f>0+K20</f>
        <v>0</v>
      </c>
      <c r="M20" s="119">
        <f t="shared" si="1"/>
        <v>0</v>
      </c>
      <c r="N20" s="124">
        <f t="shared" si="1"/>
        <v>0</v>
      </c>
      <c r="O20" s="16">
        <v>0</v>
      </c>
      <c r="P20" s="16">
        <v>0</v>
      </c>
      <c r="Q20" s="18"/>
      <c r="R20" s="18"/>
    </row>
    <row r="21" spans="1:18" ht="31.5" customHeight="1" thickBot="1">
      <c r="A21" s="189" t="s">
        <v>199</v>
      </c>
      <c r="B21" s="563" t="s">
        <v>148</v>
      </c>
      <c r="C21" s="564"/>
      <c r="D21" s="565"/>
      <c r="E21" s="190"/>
      <c r="F21" s="108">
        <f>0+E21</f>
        <v>0</v>
      </c>
      <c r="G21" s="450"/>
      <c r="H21" s="451"/>
      <c r="I21" s="451"/>
      <c r="J21" s="452"/>
      <c r="K21" s="298">
        <f t="shared" si="0"/>
        <v>0</v>
      </c>
      <c r="L21" s="15">
        <f>0+K21</f>
        <v>0</v>
      </c>
      <c r="M21" s="119">
        <f t="shared" si="1"/>
        <v>0</v>
      </c>
      <c r="N21" s="124">
        <f t="shared" si="1"/>
        <v>0</v>
      </c>
      <c r="O21" s="16">
        <v>0</v>
      </c>
      <c r="P21" s="16">
        <v>0</v>
      </c>
      <c r="Q21" s="18"/>
      <c r="R21" s="173"/>
    </row>
    <row r="22" spans="1:18" ht="30.75" customHeight="1" thickBot="1">
      <c r="A22" s="189" t="s">
        <v>200</v>
      </c>
      <c r="B22" s="497" t="s">
        <v>201</v>
      </c>
      <c r="C22" s="498"/>
      <c r="D22" s="499"/>
      <c r="E22" s="82">
        <v>11000</v>
      </c>
      <c r="F22" s="108">
        <f>69000+E22</f>
        <v>80000</v>
      </c>
      <c r="G22" s="450">
        <v>3434.4</v>
      </c>
      <c r="H22" s="451"/>
      <c r="I22" s="451"/>
      <c r="J22" s="452"/>
      <c r="K22" s="298">
        <f t="shared" si="0"/>
        <v>3434.4</v>
      </c>
      <c r="L22" s="15">
        <f>80295.9+K22</f>
        <v>83730.29999999999</v>
      </c>
      <c r="M22" s="119">
        <f>E22-K22</f>
        <v>7565.6</v>
      </c>
      <c r="N22" s="124">
        <f t="shared" si="1"/>
        <v>-3730.2999999999884</v>
      </c>
      <c r="O22" s="16">
        <v>0</v>
      </c>
      <c r="P22" s="16">
        <v>0</v>
      </c>
      <c r="Q22" s="173"/>
      <c r="R22" s="173"/>
    </row>
    <row r="23" spans="1:18" ht="39.75" customHeight="1" thickBot="1">
      <c r="A23" s="189" t="s">
        <v>202</v>
      </c>
      <c r="B23" s="572" t="s">
        <v>140</v>
      </c>
      <c r="C23" s="573"/>
      <c r="D23" s="574"/>
      <c r="E23" s="14"/>
      <c r="F23" s="108"/>
      <c r="G23" s="450">
        <v>211793</v>
      </c>
      <c r="H23" s="451"/>
      <c r="I23" s="451"/>
      <c r="J23" s="452"/>
      <c r="K23" s="298">
        <f>G23</f>
        <v>211793</v>
      </c>
      <c r="L23" s="15">
        <f>1020703.99+K23</f>
        <v>1232496.99</v>
      </c>
      <c r="M23" s="119">
        <f t="shared" si="1"/>
        <v>-211793</v>
      </c>
      <c r="N23" s="124">
        <f t="shared" si="1"/>
        <v>-1232496.99</v>
      </c>
      <c r="O23" s="16">
        <v>0</v>
      </c>
      <c r="P23" s="16">
        <v>0</v>
      </c>
      <c r="Q23" s="173"/>
      <c r="R23" s="173"/>
    </row>
    <row r="24" spans="1:18" ht="23.25" customHeight="1">
      <c r="A24" s="446"/>
      <c r="B24" s="575" t="s">
        <v>30</v>
      </c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7"/>
      <c r="Q24" s="173"/>
      <c r="R24" s="173"/>
    </row>
    <row r="25" spans="1:18" ht="1.5" customHeight="1" thickBot="1">
      <c r="A25" s="447"/>
      <c r="B25" s="578"/>
      <c r="C25" s="579"/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579"/>
      <c r="P25" s="580"/>
      <c r="Q25" s="173"/>
      <c r="R25" s="173"/>
    </row>
    <row r="26" spans="1:18" ht="15.75" thickBot="1">
      <c r="A26" s="446"/>
      <c r="B26" s="550" t="s">
        <v>14</v>
      </c>
      <c r="C26" s="551"/>
      <c r="D26" s="552"/>
      <c r="E26" s="581" t="s">
        <v>24</v>
      </c>
      <c r="F26" s="583" t="s">
        <v>25</v>
      </c>
      <c r="G26" s="532" t="s">
        <v>31</v>
      </c>
      <c r="H26" s="522"/>
      <c r="I26" s="522"/>
      <c r="J26" s="522"/>
      <c r="K26" s="533"/>
      <c r="L26" s="534" t="s">
        <v>16</v>
      </c>
      <c r="M26" s="534" t="s">
        <v>17</v>
      </c>
      <c r="N26" s="534" t="s">
        <v>18</v>
      </c>
      <c r="O26" s="534" t="s">
        <v>19</v>
      </c>
      <c r="P26" s="534" t="s">
        <v>20</v>
      </c>
      <c r="Q26" s="173"/>
      <c r="R26" s="173"/>
    </row>
    <row r="27" spans="1:18" ht="73.5" customHeight="1" thickBot="1">
      <c r="A27" s="447"/>
      <c r="B27" s="553"/>
      <c r="C27" s="554"/>
      <c r="D27" s="555"/>
      <c r="E27" s="582"/>
      <c r="F27" s="584"/>
      <c r="G27" s="301" t="s">
        <v>32</v>
      </c>
      <c r="H27" s="301" t="s">
        <v>33</v>
      </c>
      <c r="I27" s="301" t="s">
        <v>34</v>
      </c>
      <c r="J27" s="175" t="s">
        <v>220</v>
      </c>
      <c r="K27" s="176" t="s">
        <v>27</v>
      </c>
      <c r="L27" s="535"/>
      <c r="M27" s="535"/>
      <c r="N27" s="535"/>
      <c r="O27" s="535"/>
      <c r="P27" s="535"/>
      <c r="Q27" s="173"/>
      <c r="R27" s="18">
        <v>365352.1499999948</v>
      </c>
    </row>
    <row r="28" spans="1:18" ht="15.75" thickBot="1">
      <c r="A28" s="2"/>
      <c r="B28" s="536">
        <v>1</v>
      </c>
      <c r="C28" s="537"/>
      <c r="D28" s="538"/>
      <c r="E28" s="180" t="s">
        <v>22</v>
      </c>
      <c r="F28" s="301">
        <v>3</v>
      </c>
      <c r="G28" s="301">
        <v>4</v>
      </c>
      <c r="H28" s="301">
        <v>5</v>
      </c>
      <c r="I28" s="175">
        <v>6</v>
      </c>
      <c r="J28" s="175">
        <v>7</v>
      </c>
      <c r="K28" s="192">
        <v>8</v>
      </c>
      <c r="L28" s="305">
        <v>9</v>
      </c>
      <c r="M28" s="175">
        <v>10</v>
      </c>
      <c r="N28" s="305">
        <v>11</v>
      </c>
      <c r="O28" s="175">
        <v>12</v>
      </c>
      <c r="P28" s="305">
        <v>13</v>
      </c>
      <c r="Q28" s="173"/>
      <c r="R28" s="173"/>
    </row>
    <row r="29" spans="1:18" ht="25.5" customHeight="1" thickBot="1">
      <c r="A29" s="2"/>
      <c r="B29" s="539" t="s">
        <v>23</v>
      </c>
      <c r="C29" s="529"/>
      <c r="D29" s="531"/>
      <c r="E29" s="76">
        <f>E30+E34+E38+E44+E51+E54+E64+E67+E71+E74+E78+E80+E88+E101+E132+E135+E138+E141</f>
        <v>1486769</v>
      </c>
      <c r="F29" s="76">
        <f>F30+F34+F38+F44+F51+F54+F64+F67+F71+F74+F78+F80+F88+F101+F132+F135+F138+F141</f>
        <v>14361329</v>
      </c>
      <c r="G29" s="76">
        <f>G30+G34+G38+G44+G51+G54+G64+G67+G71+G74+G78+G80+G88+G101+G132+G135+G138+G141</f>
        <v>1532757.05</v>
      </c>
      <c r="H29" s="76">
        <f>H30+H34+H38+H44+H51+H54+H64+H67+H71+H74+H78+H80+H88+H101+H132+H135+H138+H141</f>
        <v>256659.09</v>
      </c>
      <c r="I29" s="76">
        <f>I30+I34+I38+I44+I51+I54+I64+I67+I71+I74+I78+I80+I88+I101+I132+I135+I138+I141</f>
        <v>26000</v>
      </c>
      <c r="J29" s="76">
        <f>J30+J34+J38+J44+J51+J54+J64+J67+J71+J74+J78+J80+J88+J101+J132+J135+J138+J141</f>
        <v>200582.96</v>
      </c>
      <c r="K29" s="76">
        <f>K30+K34+K38+K44+K51+K54+K64+K67+K71+K74+K78+K80+K88+K101+K132+K135+K138+K141</f>
        <v>2015999.1</v>
      </c>
      <c r="L29" s="76">
        <f>L30+L34+L38+L44+L51+L54+L64+L67+L71+L74+L78+L80+L88+L101+L132+L135+L138+L141</f>
        <v>15888257.945</v>
      </c>
      <c r="M29" s="76">
        <f>M30+M34+M38+M44+M51+M54+M64+M67+M71+M74+M78+M80+M88+M101+M132+M135+M138+M141</f>
        <v>-529230.0999999999</v>
      </c>
      <c r="N29" s="76">
        <f>N30+N34+N38+N44+N51+N54+N64+N67+N71+N74+N78+N80+N88+N101+N132+N135+N138+N141</f>
        <v>-1526928.9450000003</v>
      </c>
      <c r="O29" s="21">
        <v>0</v>
      </c>
      <c r="P29" s="21">
        <v>0</v>
      </c>
      <c r="Q29" s="173"/>
      <c r="R29" s="18"/>
    </row>
    <row r="30" spans="1:18" ht="26.25" customHeight="1" thickBot="1">
      <c r="A30" s="22" t="s">
        <v>21</v>
      </c>
      <c r="B30" s="426" t="s">
        <v>36</v>
      </c>
      <c r="C30" s="338"/>
      <c r="D30" s="339"/>
      <c r="E30" s="111">
        <f>SUM(E31:E32)</f>
        <v>847724</v>
      </c>
      <c r="F30" s="81">
        <f>F31+F32+F33</f>
        <v>7881261</v>
      </c>
      <c r="G30" s="20">
        <f>G31+G32+G33</f>
        <v>632541.07</v>
      </c>
      <c r="H30" s="20">
        <f>H31</f>
        <v>189659.09</v>
      </c>
      <c r="I30" s="20"/>
      <c r="J30" s="20"/>
      <c r="K30" s="81">
        <f>G30+H30</f>
        <v>822200.1599999999</v>
      </c>
      <c r="L30" s="23">
        <f>L31+L32</f>
        <v>7058555.84</v>
      </c>
      <c r="M30" s="120">
        <f>E30-K30</f>
        <v>25523.840000000084</v>
      </c>
      <c r="N30" s="122">
        <f>F30-L30</f>
        <v>822705.1600000001</v>
      </c>
      <c r="O30" s="26">
        <v>0</v>
      </c>
      <c r="P30" s="27">
        <v>0</v>
      </c>
      <c r="Q30" s="18"/>
      <c r="R30" s="18"/>
    </row>
    <row r="31" spans="1:18" ht="24.75" customHeight="1" thickBot="1">
      <c r="A31" s="29" t="s">
        <v>150</v>
      </c>
      <c r="B31" s="430" t="s">
        <v>151</v>
      </c>
      <c r="C31" s="431"/>
      <c r="D31" s="432"/>
      <c r="E31" s="249">
        <v>638345</v>
      </c>
      <c r="F31" s="108">
        <f>4359445+E31</f>
        <v>4997790</v>
      </c>
      <c r="G31" s="33"/>
      <c r="H31" s="33">
        <v>189659.09</v>
      </c>
      <c r="I31" s="33"/>
      <c r="J31" s="33"/>
      <c r="K31" s="82">
        <f>H31</f>
        <v>189659.09</v>
      </c>
      <c r="L31" s="15">
        <f>3674497.65+K31</f>
        <v>3864156.7399999998</v>
      </c>
      <c r="M31" s="119">
        <f>E31-K31</f>
        <v>448685.91000000003</v>
      </c>
      <c r="N31" s="121">
        <f>F31-L31</f>
        <v>1133633.2600000002</v>
      </c>
      <c r="O31" s="31">
        <v>0</v>
      </c>
      <c r="P31" s="123">
        <v>0</v>
      </c>
      <c r="Q31" s="18"/>
      <c r="R31" s="18"/>
    </row>
    <row r="32" spans="1:18" ht="30.75" customHeight="1" thickBot="1">
      <c r="A32" s="29" t="s">
        <v>153</v>
      </c>
      <c r="B32" s="340" t="s">
        <v>152</v>
      </c>
      <c r="C32" s="341"/>
      <c r="D32" s="342"/>
      <c r="E32" s="249">
        <v>209379</v>
      </c>
      <c r="F32" s="108">
        <f>2674092+E32</f>
        <v>2883471</v>
      </c>
      <c r="G32" s="33">
        <v>632541.07</v>
      </c>
      <c r="H32" s="33"/>
      <c r="I32" s="33"/>
      <c r="J32" s="33"/>
      <c r="K32" s="15">
        <f>0+G32</f>
        <v>632541.07</v>
      </c>
      <c r="L32" s="15">
        <f>2561858.03+K32</f>
        <v>3194399.0999999996</v>
      </c>
      <c r="M32" s="119">
        <f>E32-K32</f>
        <v>-423162.06999999995</v>
      </c>
      <c r="N32" s="121">
        <f>F32-L32</f>
        <v>-310928.0999999996</v>
      </c>
      <c r="O32" s="31">
        <v>0</v>
      </c>
      <c r="P32" s="123">
        <v>0</v>
      </c>
      <c r="Q32" s="18"/>
      <c r="R32" s="18"/>
    </row>
    <row r="33" spans="1:18" ht="26.25" customHeight="1" thickBot="1">
      <c r="A33" s="29" t="s">
        <v>155</v>
      </c>
      <c r="B33" s="340" t="s">
        <v>154</v>
      </c>
      <c r="C33" s="341"/>
      <c r="D33" s="342"/>
      <c r="E33" s="95"/>
      <c r="F33" s="15"/>
      <c r="G33" s="33"/>
      <c r="H33" s="33"/>
      <c r="I33" s="33"/>
      <c r="J33" s="33"/>
      <c r="K33" s="82"/>
      <c r="L33" s="15"/>
      <c r="M33" s="193"/>
      <c r="N33" s="194"/>
      <c r="O33" s="31"/>
      <c r="P33" s="123"/>
      <c r="Q33" s="18"/>
      <c r="R33" s="18"/>
    </row>
    <row r="34" spans="1:18" ht="34.5" customHeight="1" thickBot="1">
      <c r="A34" s="128" t="s">
        <v>22</v>
      </c>
      <c r="B34" s="395" t="s">
        <v>37</v>
      </c>
      <c r="C34" s="396"/>
      <c r="D34" s="397"/>
      <c r="E34" s="81">
        <f>SUM(E35:E37)</f>
        <v>171240</v>
      </c>
      <c r="F34" s="81">
        <f>F35+F36+F37</f>
        <v>1592014</v>
      </c>
      <c r="G34" s="20">
        <f>G35+G36+G37</f>
        <v>83735.48</v>
      </c>
      <c r="H34" s="20">
        <f>H35</f>
        <v>67000</v>
      </c>
      <c r="I34" s="20"/>
      <c r="J34" s="20"/>
      <c r="K34" s="81">
        <f>G34+H34</f>
        <v>150735.47999999998</v>
      </c>
      <c r="L34" s="23">
        <f>L35+L36</f>
        <v>1366632.5</v>
      </c>
      <c r="M34" s="120">
        <f aca="true" t="shared" si="2" ref="M34:N36">E34-K34</f>
        <v>20504.52000000002</v>
      </c>
      <c r="N34" s="125">
        <f t="shared" si="2"/>
        <v>225381.5</v>
      </c>
      <c r="O34" s="26">
        <v>0</v>
      </c>
      <c r="P34" s="27">
        <v>0</v>
      </c>
      <c r="Q34" s="173"/>
      <c r="R34" s="173"/>
    </row>
    <row r="35" spans="1:18" ht="22.5" customHeight="1" thickBot="1">
      <c r="A35" s="29" t="s">
        <v>156</v>
      </c>
      <c r="B35" s="430" t="s">
        <v>151</v>
      </c>
      <c r="C35" s="431"/>
      <c r="D35" s="432"/>
      <c r="E35" s="82">
        <v>128946</v>
      </c>
      <c r="F35" s="108">
        <f>880608+E35</f>
        <v>1009554</v>
      </c>
      <c r="G35" s="33"/>
      <c r="H35" s="33">
        <v>67000</v>
      </c>
      <c r="I35" s="33"/>
      <c r="J35" s="33"/>
      <c r="K35" s="82">
        <f>H35</f>
        <v>67000</v>
      </c>
      <c r="L35" s="15">
        <f>714837.68+K35</f>
        <v>781837.68</v>
      </c>
      <c r="M35" s="119">
        <f t="shared" si="2"/>
        <v>61946</v>
      </c>
      <c r="N35" s="121">
        <f t="shared" si="2"/>
        <v>227716.31999999995</v>
      </c>
      <c r="O35" s="31">
        <v>0</v>
      </c>
      <c r="P35" s="123">
        <v>0</v>
      </c>
      <c r="Q35" s="173"/>
      <c r="R35" s="248">
        <f>10506304-F29</f>
        <v>-3855025</v>
      </c>
    </row>
    <row r="36" spans="1:18" ht="30.75" customHeight="1" thickBot="1">
      <c r="A36" s="29" t="s">
        <v>157</v>
      </c>
      <c r="B36" s="340" t="s">
        <v>152</v>
      </c>
      <c r="C36" s="341"/>
      <c r="D36" s="342"/>
      <c r="E36" s="82">
        <v>42294</v>
      </c>
      <c r="F36" s="108">
        <f>540166+E36</f>
        <v>582460</v>
      </c>
      <c r="G36" s="33">
        <v>83735.48</v>
      </c>
      <c r="H36" s="33"/>
      <c r="I36" s="33"/>
      <c r="J36" s="33"/>
      <c r="K36" s="82">
        <f>G36</f>
        <v>83735.48</v>
      </c>
      <c r="L36" s="15">
        <f>501059.34+K36</f>
        <v>584794.8200000001</v>
      </c>
      <c r="M36" s="119">
        <f t="shared" si="2"/>
        <v>-41441.479999999996</v>
      </c>
      <c r="N36" s="121">
        <f t="shared" si="2"/>
        <v>-2334.820000000065</v>
      </c>
      <c r="O36" s="31">
        <v>0</v>
      </c>
      <c r="P36" s="123">
        <v>0</v>
      </c>
      <c r="Q36" s="173"/>
      <c r="R36" s="173"/>
    </row>
    <row r="37" spans="1:18" ht="23.25" customHeight="1" thickBot="1">
      <c r="A37" s="29" t="s">
        <v>158</v>
      </c>
      <c r="B37" s="340" t="s">
        <v>154</v>
      </c>
      <c r="C37" s="341"/>
      <c r="D37" s="342"/>
      <c r="E37" s="82"/>
      <c r="F37" s="108"/>
      <c r="G37" s="33"/>
      <c r="H37" s="33"/>
      <c r="I37" s="33"/>
      <c r="J37" s="33"/>
      <c r="K37" s="82"/>
      <c r="L37" s="15"/>
      <c r="M37" s="193"/>
      <c r="N37" s="195"/>
      <c r="O37" s="31"/>
      <c r="P37" s="123"/>
      <c r="Q37" s="173"/>
      <c r="R37" s="173"/>
    </row>
    <row r="38" spans="1:18" ht="25.5" customHeight="1" thickBot="1">
      <c r="A38" s="22" t="s">
        <v>38</v>
      </c>
      <c r="B38" s="395" t="s">
        <v>39</v>
      </c>
      <c r="C38" s="396"/>
      <c r="D38" s="397"/>
      <c r="E38" s="81">
        <f>SUM(E41:E43)</f>
        <v>4500</v>
      </c>
      <c r="F38" s="114">
        <f>F41+F42+F43</f>
        <v>48000</v>
      </c>
      <c r="G38" s="20">
        <f>G40</f>
        <v>5938.38</v>
      </c>
      <c r="H38" s="20"/>
      <c r="I38" s="20"/>
      <c r="J38" s="20"/>
      <c r="K38" s="23">
        <f>K39+K40</f>
        <v>5938.38</v>
      </c>
      <c r="L38" s="23">
        <f>39763.39+K38</f>
        <v>45701.77</v>
      </c>
      <c r="M38" s="120">
        <f>E38-K38</f>
        <v>-1438.38</v>
      </c>
      <c r="N38" s="122">
        <f>F38-L38</f>
        <v>2298.230000000003</v>
      </c>
      <c r="O38" s="26">
        <v>0</v>
      </c>
      <c r="P38" s="27">
        <v>0</v>
      </c>
      <c r="Q38" s="173"/>
      <c r="R38" s="173"/>
    </row>
    <row r="39" spans="1:18" ht="19.5" customHeight="1" thickBot="1">
      <c r="A39" s="29" t="s">
        <v>159</v>
      </c>
      <c r="B39" s="430" t="s">
        <v>151</v>
      </c>
      <c r="C39" s="431"/>
      <c r="D39" s="432"/>
      <c r="E39" s="15"/>
      <c r="F39" s="108"/>
      <c r="G39" s="33"/>
      <c r="H39" s="33"/>
      <c r="I39" s="33"/>
      <c r="J39" s="33"/>
      <c r="K39" s="82"/>
      <c r="L39" s="15"/>
      <c r="M39" s="193"/>
      <c r="N39" s="195"/>
      <c r="O39" s="31"/>
      <c r="P39" s="123"/>
      <c r="Q39" s="173"/>
      <c r="R39" s="173"/>
    </row>
    <row r="40" spans="1:18" ht="29.25" customHeight="1" thickBot="1">
      <c r="A40" s="29" t="s">
        <v>160</v>
      </c>
      <c r="B40" s="340" t="s">
        <v>152</v>
      </c>
      <c r="C40" s="341"/>
      <c r="D40" s="342"/>
      <c r="E40" s="82">
        <v>4500</v>
      </c>
      <c r="F40" s="108">
        <f>43500+E40</f>
        <v>48000</v>
      </c>
      <c r="G40" s="33">
        <f>G41+G42</f>
        <v>5938.38</v>
      </c>
      <c r="H40" s="33"/>
      <c r="I40" s="33"/>
      <c r="J40" s="33"/>
      <c r="K40" s="15">
        <f>0+G40</f>
        <v>5938.38</v>
      </c>
      <c r="L40" s="15">
        <f>L41+L42+L43</f>
        <v>45701.770000000004</v>
      </c>
      <c r="M40" s="119">
        <f aca="true" t="shared" si="3" ref="M40:N55">E40-K40</f>
        <v>-1438.38</v>
      </c>
      <c r="N40" s="121">
        <f t="shared" si="3"/>
        <v>2298.229999999996</v>
      </c>
      <c r="O40" s="31">
        <v>0</v>
      </c>
      <c r="P40" s="123">
        <v>0</v>
      </c>
      <c r="Q40" s="173"/>
      <c r="R40" s="173"/>
    </row>
    <row r="41" spans="1:18" ht="15.75" thickBot="1">
      <c r="A41" s="29" t="s">
        <v>40</v>
      </c>
      <c r="B41" s="427" t="s">
        <v>41</v>
      </c>
      <c r="C41" s="428"/>
      <c r="D41" s="429"/>
      <c r="E41" s="108">
        <v>2281</v>
      </c>
      <c r="F41" s="108">
        <f>20529+E41</f>
        <v>22810</v>
      </c>
      <c r="G41" s="33">
        <v>3719.38</v>
      </c>
      <c r="H41" s="33"/>
      <c r="I41" s="33"/>
      <c r="J41" s="33"/>
      <c r="K41" s="15">
        <f>0+G41</f>
        <v>3719.38</v>
      </c>
      <c r="L41" s="15">
        <f>19792.39+K41</f>
        <v>23511.77</v>
      </c>
      <c r="M41" s="119">
        <f t="shared" si="3"/>
        <v>-1438.38</v>
      </c>
      <c r="N41" s="121">
        <f t="shared" si="3"/>
        <v>-701.7700000000004</v>
      </c>
      <c r="O41" s="31">
        <v>0</v>
      </c>
      <c r="P41" s="123">
        <v>0</v>
      </c>
      <c r="Q41" s="173"/>
      <c r="R41" s="173"/>
    </row>
    <row r="42" spans="1:18" ht="15.75" thickBot="1">
      <c r="A42" s="29" t="s">
        <v>42</v>
      </c>
      <c r="B42" s="427" t="s">
        <v>43</v>
      </c>
      <c r="C42" s="428"/>
      <c r="D42" s="429"/>
      <c r="E42" s="108">
        <v>2219</v>
      </c>
      <c r="F42" s="108">
        <f>19971+E42</f>
        <v>22190</v>
      </c>
      <c r="G42" s="33">
        <v>2219</v>
      </c>
      <c r="H42" s="33"/>
      <c r="I42" s="33"/>
      <c r="J42" s="33"/>
      <c r="K42" s="15">
        <f>0+G42</f>
        <v>2219</v>
      </c>
      <c r="L42" s="15">
        <f>19971+K42</f>
        <v>22190</v>
      </c>
      <c r="M42" s="119">
        <f t="shared" si="3"/>
        <v>0</v>
      </c>
      <c r="N42" s="121">
        <f t="shared" si="3"/>
        <v>0</v>
      </c>
      <c r="O42" s="31">
        <v>0</v>
      </c>
      <c r="P42" s="123">
        <v>0</v>
      </c>
      <c r="Q42" s="173"/>
      <c r="R42" s="173"/>
    </row>
    <row r="43" spans="1:18" ht="15.75" thickBot="1">
      <c r="A43" s="29" t="s">
        <v>44</v>
      </c>
      <c r="B43" s="427" t="s">
        <v>45</v>
      </c>
      <c r="C43" s="428"/>
      <c r="D43" s="429"/>
      <c r="E43" s="108"/>
      <c r="F43" s="108">
        <f>3000+E43</f>
        <v>3000</v>
      </c>
      <c r="G43" s="13"/>
      <c r="H43" s="13"/>
      <c r="I43" s="13"/>
      <c r="J43" s="33"/>
      <c r="K43" s="15">
        <f>0+J43</f>
        <v>0</v>
      </c>
      <c r="L43" s="15">
        <f>0+K43</f>
        <v>0</v>
      </c>
      <c r="M43" s="119">
        <f t="shared" si="3"/>
        <v>0</v>
      </c>
      <c r="N43" s="121">
        <f t="shared" si="3"/>
        <v>3000</v>
      </c>
      <c r="O43" s="31">
        <v>0</v>
      </c>
      <c r="P43" s="123">
        <v>0</v>
      </c>
      <c r="Q43" s="173"/>
      <c r="R43" s="18"/>
    </row>
    <row r="44" spans="1:18" ht="36.75" customHeight="1" thickBot="1">
      <c r="A44" s="22" t="s">
        <v>46</v>
      </c>
      <c r="B44" s="395" t="s">
        <v>47</v>
      </c>
      <c r="C44" s="396"/>
      <c r="D44" s="397"/>
      <c r="E44" s="81">
        <f>SUM(E47:E49)</f>
        <v>215000</v>
      </c>
      <c r="F44" s="114">
        <f>F45</f>
        <v>1577800</v>
      </c>
      <c r="G44" s="23">
        <f>G45+G46+G47</f>
        <v>251145</v>
      </c>
      <c r="H44" s="32"/>
      <c r="I44" s="32"/>
      <c r="J44" s="20"/>
      <c r="K44" s="23">
        <f>K45+K46+K47</f>
        <v>251145</v>
      </c>
      <c r="L44" s="23">
        <f>L45</f>
        <v>1489907.5</v>
      </c>
      <c r="M44" s="120">
        <f t="shared" si="3"/>
        <v>-36145</v>
      </c>
      <c r="N44" s="122">
        <f t="shared" si="3"/>
        <v>87892.5</v>
      </c>
      <c r="O44" s="26">
        <v>0</v>
      </c>
      <c r="P44" s="27">
        <v>0</v>
      </c>
      <c r="Q44" s="173"/>
      <c r="R44" s="173"/>
    </row>
    <row r="45" spans="1:18" ht="27" customHeight="1" thickBot="1">
      <c r="A45" s="29" t="s">
        <v>161</v>
      </c>
      <c r="B45" s="340" t="s">
        <v>152</v>
      </c>
      <c r="C45" s="341"/>
      <c r="D45" s="342"/>
      <c r="E45" s="249">
        <f>E48+E49</f>
        <v>215000</v>
      </c>
      <c r="F45" s="108">
        <f>F48+F49</f>
        <v>1577800</v>
      </c>
      <c r="G45" s="15">
        <f>G48+G49</f>
        <v>251145</v>
      </c>
      <c r="H45" s="13"/>
      <c r="I45" s="13"/>
      <c r="J45" s="33"/>
      <c r="K45" s="15">
        <f>0+G45</f>
        <v>251145</v>
      </c>
      <c r="L45" s="15">
        <f>L48+L49</f>
        <v>1489907.5</v>
      </c>
      <c r="M45" s="119">
        <f t="shared" si="3"/>
        <v>-36145</v>
      </c>
      <c r="N45" s="124">
        <f t="shared" si="3"/>
        <v>87892.5</v>
      </c>
      <c r="O45" s="31">
        <v>0</v>
      </c>
      <c r="P45" s="123">
        <v>0</v>
      </c>
      <c r="Q45" s="173"/>
      <c r="R45" s="173"/>
    </row>
    <row r="46" spans="1:18" ht="21.75" customHeight="1" thickBot="1">
      <c r="A46" s="29" t="s">
        <v>162</v>
      </c>
      <c r="B46" s="430" t="s">
        <v>151</v>
      </c>
      <c r="C46" s="431"/>
      <c r="D46" s="432"/>
      <c r="E46" s="94"/>
      <c r="F46" s="108"/>
      <c r="G46" s="15"/>
      <c r="H46" s="13"/>
      <c r="I46" s="13"/>
      <c r="J46" s="33"/>
      <c r="K46" s="15">
        <f aca="true" t="shared" si="4" ref="K46:K53">0+G46</f>
        <v>0</v>
      </c>
      <c r="L46" s="15">
        <f aca="true" t="shared" si="5" ref="L46:L61">0+K46</f>
        <v>0</v>
      </c>
      <c r="M46" s="119">
        <f t="shared" si="3"/>
        <v>0</v>
      </c>
      <c r="N46" s="121">
        <f t="shared" si="3"/>
        <v>0</v>
      </c>
      <c r="O46" s="31">
        <v>0</v>
      </c>
      <c r="P46" s="123">
        <v>0</v>
      </c>
      <c r="Q46" s="173"/>
      <c r="R46" s="173"/>
    </row>
    <row r="47" spans="1:18" ht="23.25" customHeight="1" thickBot="1">
      <c r="A47" s="29" t="s">
        <v>163</v>
      </c>
      <c r="B47" s="96" t="s">
        <v>154</v>
      </c>
      <c r="C47" s="97"/>
      <c r="D47" s="97"/>
      <c r="E47" s="126"/>
      <c r="F47" s="108"/>
      <c r="G47" s="15"/>
      <c r="H47" s="13"/>
      <c r="I47" s="13"/>
      <c r="J47" s="33"/>
      <c r="K47" s="15">
        <f t="shared" si="4"/>
        <v>0</v>
      </c>
      <c r="L47" s="15">
        <f t="shared" si="5"/>
        <v>0</v>
      </c>
      <c r="M47" s="119">
        <f t="shared" si="3"/>
        <v>0</v>
      </c>
      <c r="N47" s="121">
        <f t="shared" si="3"/>
        <v>0</v>
      </c>
      <c r="O47" s="31">
        <v>0</v>
      </c>
      <c r="P47" s="123">
        <v>0</v>
      </c>
      <c r="Q47" s="173"/>
      <c r="R47" s="196"/>
    </row>
    <row r="48" spans="1:18" ht="27" customHeight="1" thickBot="1">
      <c r="A48" s="29" t="s">
        <v>48</v>
      </c>
      <c r="B48" s="359" t="s">
        <v>49</v>
      </c>
      <c r="C48" s="360"/>
      <c r="D48" s="361"/>
      <c r="E48" s="108">
        <v>215000</v>
      </c>
      <c r="F48" s="108">
        <f>1325000+E48</f>
        <v>1540000</v>
      </c>
      <c r="G48" s="13">
        <v>251145</v>
      </c>
      <c r="H48" s="13"/>
      <c r="I48" s="13"/>
      <c r="J48" s="33"/>
      <c r="K48" s="15">
        <f t="shared" si="4"/>
        <v>251145</v>
      </c>
      <c r="L48" s="15">
        <f>1225103.5+K48</f>
        <v>1476248.5</v>
      </c>
      <c r="M48" s="119">
        <f t="shared" si="3"/>
        <v>-36145</v>
      </c>
      <c r="N48" s="121">
        <f t="shared" si="3"/>
        <v>63751.5</v>
      </c>
      <c r="O48" s="31">
        <v>0</v>
      </c>
      <c r="P48" s="123">
        <v>0</v>
      </c>
      <c r="Q48" s="173"/>
      <c r="R48" s="18"/>
    </row>
    <row r="49" spans="1:18" ht="30.75" customHeight="1" thickBot="1">
      <c r="A49" s="29" t="s">
        <v>50</v>
      </c>
      <c r="B49" s="359" t="s">
        <v>51</v>
      </c>
      <c r="C49" s="360"/>
      <c r="D49" s="361"/>
      <c r="E49" s="108"/>
      <c r="F49" s="108">
        <f>37800+E49</f>
        <v>37800</v>
      </c>
      <c r="G49" s="13"/>
      <c r="H49" s="13"/>
      <c r="I49" s="13"/>
      <c r="J49" s="33"/>
      <c r="K49" s="15">
        <f t="shared" si="4"/>
        <v>0</v>
      </c>
      <c r="L49" s="15">
        <f>13659+K49</f>
        <v>13659</v>
      </c>
      <c r="M49" s="119">
        <f t="shared" si="3"/>
        <v>0</v>
      </c>
      <c r="N49" s="121">
        <f t="shared" si="3"/>
        <v>24141</v>
      </c>
      <c r="O49" s="31">
        <v>0</v>
      </c>
      <c r="P49" s="123">
        <v>0</v>
      </c>
      <c r="Q49" s="173"/>
      <c r="R49" s="173"/>
    </row>
    <row r="50" spans="1:18" ht="26.25" customHeight="1" thickBot="1">
      <c r="A50" s="29" t="s">
        <v>52</v>
      </c>
      <c r="B50" s="359" t="s">
        <v>53</v>
      </c>
      <c r="C50" s="360"/>
      <c r="D50" s="361"/>
      <c r="E50" s="13">
        <v>0</v>
      </c>
      <c r="F50" s="108">
        <f>0+E50</f>
        <v>0</v>
      </c>
      <c r="G50" s="13"/>
      <c r="H50" s="13"/>
      <c r="I50" s="13"/>
      <c r="J50" s="33"/>
      <c r="K50" s="15">
        <f t="shared" si="4"/>
        <v>0</v>
      </c>
      <c r="L50" s="15">
        <f t="shared" si="5"/>
        <v>0</v>
      </c>
      <c r="M50" s="119">
        <f t="shared" si="3"/>
        <v>0</v>
      </c>
      <c r="N50" s="121">
        <f t="shared" si="3"/>
        <v>0</v>
      </c>
      <c r="O50" s="31">
        <v>0</v>
      </c>
      <c r="P50" s="123">
        <v>0</v>
      </c>
      <c r="Q50" s="173"/>
      <c r="R50" s="173"/>
    </row>
    <row r="51" spans="1:18" ht="30" customHeight="1" thickBot="1">
      <c r="A51" s="22" t="s">
        <v>54</v>
      </c>
      <c r="B51" s="425" t="s">
        <v>55</v>
      </c>
      <c r="C51" s="323"/>
      <c r="D51" s="324"/>
      <c r="E51" s="23">
        <v>0</v>
      </c>
      <c r="F51" s="23">
        <v>0</v>
      </c>
      <c r="G51" s="23"/>
      <c r="H51" s="23"/>
      <c r="I51" s="23"/>
      <c r="J51" s="20"/>
      <c r="K51" s="23">
        <f t="shared" si="4"/>
        <v>0</v>
      </c>
      <c r="L51" s="23">
        <f t="shared" si="5"/>
        <v>0</v>
      </c>
      <c r="M51" s="120">
        <f t="shared" si="3"/>
        <v>0</v>
      </c>
      <c r="N51" s="122">
        <f t="shared" si="3"/>
        <v>0</v>
      </c>
      <c r="O51" s="26">
        <v>0</v>
      </c>
      <c r="P51" s="27">
        <v>0</v>
      </c>
      <c r="Q51" s="173"/>
      <c r="R51" s="173"/>
    </row>
    <row r="52" spans="1:18" ht="30.75" customHeight="1" thickBot="1">
      <c r="A52" s="29" t="s">
        <v>164</v>
      </c>
      <c r="B52" s="340" t="s">
        <v>152</v>
      </c>
      <c r="C52" s="341"/>
      <c r="D52" s="342"/>
      <c r="E52" s="15"/>
      <c r="F52" s="15"/>
      <c r="G52" s="15"/>
      <c r="H52" s="15"/>
      <c r="I52" s="15"/>
      <c r="J52" s="33"/>
      <c r="K52" s="15">
        <f t="shared" si="4"/>
        <v>0</v>
      </c>
      <c r="L52" s="15">
        <f t="shared" si="5"/>
        <v>0</v>
      </c>
      <c r="M52" s="119">
        <f t="shared" si="3"/>
        <v>0</v>
      </c>
      <c r="N52" s="121">
        <f t="shared" si="3"/>
        <v>0</v>
      </c>
      <c r="O52" s="31">
        <v>0</v>
      </c>
      <c r="P52" s="123">
        <v>0</v>
      </c>
      <c r="Q52" s="173"/>
      <c r="R52" s="173"/>
    </row>
    <row r="53" spans="1:18" ht="18.75" customHeight="1" thickBot="1">
      <c r="A53" s="29" t="s">
        <v>165</v>
      </c>
      <c r="B53" s="96" t="s">
        <v>154</v>
      </c>
      <c r="C53" s="97"/>
      <c r="D53" s="97"/>
      <c r="E53" s="15"/>
      <c r="F53" s="15"/>
      <c r="G53" s="15"/>
      <c r="H53" s="15"/>
      <c r="I53" s="15"/>
      <c r="J53" s="33"/>
      <c r="K53" s="15">
        <f t="shared" si="4"/>
        <v>0</v>
      </c>
      <c r="L53" s="15">
        <f t="shared" si="5"/>
        <v>0</v>
      </c>
      <c r="M53" s="119">
        <f t="shared" si="3"/>
        <v>0</v>
      </c>
      <c r="N53" s="121">
        <f t="shared" si="3"/>
        <v>0</v>
      </c>
      <c r="O53" s="31">
        <v>0</v>
      </c>
      <c r="P53" s="123">
        <v>0</v>
      </c>
      <c r="Q53" s="173"/>
      <c r="R53" s="173"/>
    </row>
    <row r="54" spans="1:18" ht="45.75" customHeight="1" thickBot="1">
      <c r="A54" s="22" t="s">
        <v>56</v>
      </c>
      <c r="B54" s="395" t="s">
        <v>57</v>
      </c>
      <c r="C54" s="396"/>
      <c r="D54" s="397"/>
      <c r="E54" s="81">
        <f>SUM(E59:E63)</f>
        <v>181000</v>
      </c>
      <c r="F54" s="114">
        <f>F55+F58</f>
        <v>1420500</v>
      </c>
      <c r="G54" s="23">
        <f>G55+G56+G57+G58</f>
        <v>51908.36</v>
      </c>
      <c r="H54" s="23"/>
      <c r="I54" s="23"/>
      <c r="J54" s="23">
        <f>J55+J56+J57+J58</f>
        <v>7308.24</v>
      </c>
      <c r="K54" s="23">
        <f>K55+K56+K57+K58</f>
        <v>59216.6</v>
      </c>
      <c r="L54" s="23">
        <f>L55+L56+L57+L58</f>
        <v>1392035.2650000001</v>
      </c>
      <c r="M54" s="120">
        <f t="shared" si="3"/>
        <v>121783.4</v>
      </c>
      <c r="N54" s="125">
        <f t="shared" si="3"/>
        <v>28464.73499999987</v>
      </c>
      <c r="O54" s="26">
        <v>0</v>
      </c>
      <c r="P54" s="27">
        <v>0</v>
      </c>
      <c r="Q54" s="173"/>
      <c r="R54" s="18">
        <f>F59+F60+F62+F63-F58</f>
        <v>1348900</v>
      </c>
    </row>
    <row r="55" spans="1:18" ht="28.5" customHeight="1" thickBot="1">
      <c r="A55" s="29" t="s">
        <v>166</v>
      </c>
      <c r="B55" s="627" t="s">
        <v>152</v>
      </c>
      <c r="C55" s="628"/>
      <c r="D55" s="629"/>
      <c r="E55" s="307">
        <f>E59+E60+E62+E63-E58</f>
        <v>178400</v>
      </c>
      <c r="F55" s="108">
        <f>1170500+E55</f>
        <v>1348900</v>
      </c>
      <c r="G55" s="15">
        <f>G59+G60+G62+G63</f>
        <v>51908.36</v>
      </c>
      <c r="H55" s="15"/>
      <c r="I55" s="15"/>
      <c r="J55" s="15"/>
      <c r="K55" s="15">
        <f>0+G55</f>
        <v>51908.36</v>
      </c>
      <c r="L55" s="15">
        <f>1229532.195+K55</f>
        <v>1281440.5550000002</v>
      </c>
      <c r="M55" s="119">
        <f t="shared" si="3"/>
        <v>126491.64</v>
      </c>
      <c r="N55" s="121">
        <f t="shared" si="3"/>
        <v>67459.44499999983</v>
      </c>
      <c r="O55" s="31">
        <v>0</v>
      </c>
      <c r="P55" s="123">
        <v>0</v>
      </c>
      <c r="Q55" s="173"/>
      <c r="R55" s="18"/>
    </row>
    <row r="56" spans="1:18" ht="30.75" customHeight="1" thickBot="1">
      <c r="A56" s="29" t="s">
        <v>167</v>
      </c>
      <c r="B56" s="430" t="s">
        <v>168</v>
      </c>
      <c r="C56" s="431"/>
      <c r="D56" s="432"/>
      <c r="E56" s="112"/>
      <c r="F56" s="108"/>
      <c r="G56" s="15"/>
      <c r="H56" s="15"/>
      <c r="I56" s="15"/>
      <c r="J56" s="15"/>
      <c r="K56" s="15">
        <f aca="true" t="shared" si="6" ref="K56:K61">0+G56</f>
        <v>0</v>
      </c>
      <c r="L56" s="15">
        <f t="shared" si="5"/>
        <v>0</v>
      </c>
      <c r="M56" s="119">
        <f aca="true" t="shared" si="7" ref="M56:N71">E56-K56</f>
        <v>0</v>
      </c>
      <c r="N56" s="121">
        <f t="shared" si="7"/>
        <v>0</v>
      </c>
      <c r="O56" s="31">
        <v>0</v>
      </c>
      <c r="P56" s="123">
        <v>0</v>
      </c>
      <c r="Q56" s="173"/>
      <c r="R56" s="18"/>
    </row>
    <row r="57" spans="1:18" ht="22.5" customHeight="1" thickBot="1">
      <c r="A57" s="29" t="s">
        <v>203</v>
      </c>
      <c r="B57" s="503" t="s">
        <v>154</v>
      </c>
      <c r="C57" s="504"/>
      <c r="D57" s="504"/>
      <c r="E57" s="127"/>
      <c r="F57" s="108"/>
      <c r="G57" s="15"/>
      <c r="H57" s="15"/>
      <c r="I57" s="15"/>
      <c r="J57" s="15"/>
      <c r="K57" s="15">
        <f t="shared" si="6"/>
        <v>0</v>
      </c>
      <c r="L57" s="15">
        <f t="shared" si="5"/>
        <v>0</v>
      </c>
      <c r="M57" s="119">
        <f t="shared" si="7"/>
        <v>0</v>
      </c>
      <c r="N57" s="121">
        <f t="shared" si="7"/>
        <v>0</v>
      </c>
      <c r="O57" s="31">
        <v>0</v>
      </c>
      <c r="P57" s="123">
        <v>0</v>
      </c>
      <c r="Q57" s="173"/>
      <c r="R57" s="18">
        <f>L59+L60+L61+L62+L63</f>
        <v>1392035.26</v>
      </c>
    </row>
    <row r="58" spans="1:18" ht="27.75" customHeight="1" thickBot="1">
      <c r="A58" s="29" t="s">
        <v>204</v>
      </c>
      <c r="B58" s="497" t="s">
        <v>201</v>
      </c>
      <c r="C58" s="498"/>
      <c r="D58" s="499"/>
      <c r="E58" s="112">
        <v>2600</v>
      </c>
      <c r="F58" s="108">
        <f>69000+E58</f>
        <v>71600</v>
      </c>
      <c r="G58" s="15"/>
      <c r="H58" s="15"/>
      <c r="I58" s="15"/>
      <c r="J58" s="15">
        <f>J62+J63+J59</f>
        <v>7308.24</v>
      </c>
      <c r="K58" s="15">
        <f>0+J58</f>
        <v>7308.24</v>
      </c>
      <c r="L58" s="15">
        <f>103286.47+K58</f>
        <v>110594.71</v>
      </c>
      <c r="M58" s="119">
        <f t="shared" si="7"/>
        <v>-4708.24</v>
      </c>
      <c r="N58" s="121">
        <f t="shared" si="7"/>
        <v>-38994.71000000001</v>
      </c>
      <c r="O58" s="31">
        <v>0</v>
      </c>
      <c r="P58" s="123">
        <v>0</v>
      </c>
      <c r="Q58" s="173"/>
      <c r="R58" s="18">
        <f>F59+F60+F62+F63</f>
        <v>1420500</v>
      </c>
    </row>
    <row r="59" spans="1:18" ht="32.25" customHeight="1" thickBot="1">
      <c r="A59" s="29" t="s">
        <v>58</v>
      </c>
      <c r="B59" s="621" t="s">
        <v>236</v>
      </c>
      <c r="C59" s="622"/>
      <c r="D59" s="623"/>
      <c r="E59" s="108">
        <v>60000</v>
      </c>
      <c r="F59" s="108">
        <f>405000+E59</f>
        <v>465000</v>
      </c>
      <c r="G59" s="13">
        <v>42568.86</v>
      </c>
      <c r="H59" s="13"/>
      <c r="I59" s="13"/>
      <c r="J59" s="15">
        <v>7308.24</v>
      </c>
      <c r="K59" s="15">
        <f>J59+G59</f>
        <v>49877.1</v>
      </c>
      <c r="L59" s="15">
        <f>345388.7+K59</f>
        <v>395265.8</v>
      </c>
      <c r="M59" s="119">
        <f t="shared" si="7"/>
        <v>10122.900000000001</v>
      </c>
      <c r="N59" s="121">
        <f t="shared" si="7"/>
        <v>69734.20000000001</v>
      </c>
      <c r="O59" s="31">
        <v>0</v>
      </c>
      <c r="P59" s="123">
        <v>0</v>
      </c>
      <c r="Q59" s="173"/>
      <c r="R59" s="196"/>
    </row>
    <row r="60" spans="1:18" ht="19.5" customHeight="1" thickBot="1">
      <c r="A60" s="29" t="s">
        <v>60</v>
      </c>
      <c r="B60" s="427" t="s">
        <v>61</v>
      </c>
      <c r="C60" s="428"/>
      <c r="D60" s="428"/>
      <c r="E60" s="108">
        <v>110000</v>
      </c>
      <c r="F60" s="108">
        <f>752000+E60</f>
        <v>862000</v>
      </c>
      <c r="G60" s="13"/>
      <c r="H60" s="13"/>
      <c r="I60" s="13"/>
      <c r="J60" s="15"/>
      <c r="K60" s="15">
        <f t="shared" si="6"/>
        <v>0</v>
      </c>
      <c r="L60" s="15">
        <f>904749.95+K60</f>
        <v>904749.95</v>
      </c>
      <c r="M60" s="119">
        <f t="shared" si="7"/>
        <v>110000</v>
      </c>
      <c r="N60" s="121">
        <f t="shared" si="7"/>
        <v>-42749.94999999995</v>
      </c>
      <c r="O60" s="31">
        <v>0</v>
      </c>
      <c r="P60" s="123">
        <v>0</v>
      </c>
      <c r="Q60" s="173"/>
      <c r="R60" s="18"/>
    </row>
    <row r="61" spans="1:18" ht="20.25" customHeight="1" thickBot="1">
      <c r="A61" s="29" t="s">
        <v>60</v>
      </c>
      <c r="B61" s="624" t="s">
        <v>205</v>
      </c>
      <c r="C61" s="625"/>
      <c r="D61" s="626"/>
      <c r="E61" s="108"/>
      <c r="F61" s="108"/>
      <c r="G61" s="13"/>
      <c r="H61" s="13"/>
      <c r="I61" s="13"/>
      <c r="J61" s="15"/>
      <c r="K61" s="15">
        <f t="shared" si="6"/>
        <v>0</v>
      </c>
      <c r="L61" s="15">
        <f t="shared" si="5"/>
        <v>0</v>
      </c>
      <c r="M61" s="119">
        <f t="shared" si="7"/>
        <v>0</v>
      </c>
      <c r="N61" s="121">
        <f t="shared" si="7"/>
        <v>0</v>
      </c>
      <c r="O61" s="31">
        <v>0</v>
      </c>
      <c r="P61" s="123">
        <v>0</v>
      </c>
      <c r="Q61" s="173"/>
      <c r="R61" s="173"/>
    </row>
    <row r="62" spans="1:18" ht="20.25" customHeight="1" thickBot="1">
      <c r="A62" s="29" t="s">
        <v>62</v>
      </c>
      <c r="B62" s="427" t="s">
        <v>63</v>
      </c>
      <c r="C62" s="428"/>
      <c r="D62" s="429"/>
      <c r="E62" s="108">
        <v>5900</v>
      </c>
      <c r="F62" s="108">
        <f>43700+E62</f>
        <v>49600</v>
      </c>
      <c r="G62" s="215">
        <v>4987.55</v>
      </c>
      <c r="H62" s="60"/>
      <c r="I62" s="13"/>
      <c r="J62" s="13"/>
      <c r="K62" s="15">
        <f>0+J62+G62</f>
        <v>4987.55</v>
      </c>
      <c r="L62" s="15">
        <f>45246.98+K62</f>
        <v>50234.530000000006</v>
      </c>
      <c r="M62" s="119">
        <f t="shared" si="7"/>
        <v>912.4499999999998</v>
      </c>
      <c r="N62" s="121">
        <f t="shared" si="7"/>
        <v>-634.5300000000061</v>
      </c>
      <c r="O62" s="31">
        <v>0</v>
      </c>
      <c r="P62" s="123">
        <v>0</v>
      </c>
      <c r="Q62" s="173"/>
      <c r="R62" s="173"/>
    </row>
    <row r="63" spans="1:18" ht="31.5" customHeight="1" thickBot="1">
      <c r="A63" s="29" t="s">
        <v>64</v>
      </c>
      <c r="B63" s="427" t="s">
        <v>65</v>
      </c>
      <c r="C63" s="428"/>
      <c r="D63" s="429"/>
      <c r="E63" s="108">
        <v>5100</v>
      </c>
      <c r="F63" s="108">
        <f>38800+E63</f>
        <v>43900</v>
      </c>
      <c r="G63" s="216">
        <v>4351.95</v>
      </c>
      <c r="H63" s="13"/>
      <c r="I63" s="13"/>
      <c r="J63" s="13"/>
      <c r="K63" s="15">
        <f>0+J63+G63</f>
        <v>4351.95</v>
      </c>
      <c r="L63" s="15">
        <f>37433.03+K63</f>
        <v>41784.979999999996</v>
      </c>
      <c r="M63" s="119">
        <f t="shared" si="7"/>
        <v>748.0500000000002</v>
      </c>
      <c r="N63" s="121">
        <f t="shared" si="7"/>
        <v>2115.020000000004</v>
      </c>
      <c r="O63" s="31">
        <v>0</v>
      </c>
      <c r="P63" s="123">
        <v>0</v>
      </c>
      <c r="Q63" s="173"/>
      <c r="R63" s="173"/>
    </row>
    <row r="64" spans="1:18" ht="38.25" customHeight="1" thickBot="1">
      <c r="A64" s="56" t="s">
        <v>66</v>
      </c>
      <c r="B64" s="585" t="s">
        <v>228</v>
      </c>
      <c r="C64" s="586"/>
      <c r="D64" s="587"/>
      <c r="E64" s="81">
        <f>E65</f>
        <v>0</v>
      </c>
      <c r="F64" s="114">
        <f>F65+F66</f>
        <v>339000</v>
      </c>
      <c r="G64" s="32">
        <f>G65+G66</f>
        <v>0</v>
      </c>
      <c r="H64" s="23"/>
      <c r="I64" s="23">
        <f>I66</f>
        <v>0</v>
      </c>
      <c r="J64" s="23">
        <f>J65+J66</f>
        <v>0</v>
      </c>
      <c r="K64" s="23">
        <f>K65+K66</f>
        <v>0</v>
      </c>
      <c r="L64" s="23">
        <f>L65+L66</f>
        <v>316888</v>
      </c>
      <c r="M64" s="120">
        <f t="shared" si="7"/>
        <v>0</v>
      </c>
      <c r="N64" s="125">
        <f t="shared" si="7"/>
        <v>22112</v>
      </c>
      <c r="O64" s="26">
        <v>0</v>
      </c>
      <c r="P64" s="27">
        <v>0</v>
      </c>
      <c r="Q64" s="173"/>
      <c r="R64" s="173"/>
    </row>
    <row r="65" spans="1:18" ht="29.25" customHeight="1" thickBot="1">
      <c r="A65" s="29" t="s">
        <v>207</v>
      </c>
      <c r="B65" s="340" t="s">
        <v>152</v>
      </c>
      <c r="C65" s="341"/>
      <c r="D65" s="342"/>
      <c r="E65" s="82">
        <v>0</v>
      </c>
      <c r="F65" s="108">
        <f>339000+E65</f>
        <v>339000</v>
      </c>
      <c r="G65" s="13"/>
      <c r="H65" s="15"/>
      <c r="I65" s="15"/>
      <c r="J65" s="15"/>
      <c r="K65" s="15">
        <f>0+G65</f>
        <v>0</v>
      </c>
      <c r="L65" s="15">
        <f>300088+K65</f>
        <v>300088</v>
      </c>
      <c r="M65" s="119">
        <f t="shared" si="7"/>
        <v>0</v>
      </c>
      <c r="N65" s="124">
        <f t="shared" si="7"/>
        <v>38912</v>
      </c>
      <c r="O65" s="31">
        <v>0</v>
      </c>
      <c r="P65" s="123">
        <v>0</v>
      </c>
      <c r="Q65" s="173"/>
      <c r="R65" s="173"/>
    </row>
    <row r="66" spans="1:18" ht="30" customHeight="1" thickBot="1">
      <c r="A66" s="29" t="s">
        <v>208</v>
      </c>
      <c r="B66" s="340" t="s">
        <v>171</v>
      </c>
      <c r="C66" s="341"/>
      <c r="D66" s="342"/>
      <c r="E66" s="82"/>
      <c r="F66" s="108"/>
      <c r="G66" s="13"/>
      <c r="H66" s="15"/>
      <c r="I66" s="15"/>
      <c r="J66" s="15"/>
      <c r="K66" s="15">
        <f>0+I66</f>
        <v>0</v>
      </c>
      <c r="L66" s="15">
        <f>16800+K66</f>
        <v>16800</v>
      </c>
      <c r="M66" s="119">
        <f t="shared" si="7"/>
        <v>0</v>
      </c>
      <c r="N66" s="124">
        <f t="shared" si="7"/>
        <v>-16800</v>
      </c>
      <c r="O66" s="31">
        <v>0</v>
      </c>
      <c r="P66" s="123">
        <v>0</v>
      </c>
      <c r="Q66" s="173"/>
      <c r="R66" s="173"/>
    </row>
    <row r="67" spans="1:18" ht="34.5" customHeight="1" thickBot="1">
      <c r="A67" s="128" t="s">
        <v>67</v>
      </c>
      <c r="B67" s="588" t="s">
        <v>226</v>
      </c>
      <c r="C67" s="589"/>
      <c r="D67" s="590"/>
      <c r="E67" s="81">
        <f>E68</f>
        <v>0</v>
      </c>
      <c r="F67" s="114">
        <f>125000+E67</f>
        <v>125000</v>
      </c>
      <c r="G67" s="32">
        <f>G68+G69</f>
        <v>0</v>
      </c>
      <c r="H67" s="23"/>
      <c r="I67" s="23"/>
      <c r="J67" s="23"/>
      <c r="K67" s="23">
        <f>K68+K69+K70</f>
        <v>0</v>
      </c>
      <c r="L67" s="23">
        <f>26070+K67</f>
        <v>26070</v>
      </c>
      <c r="M67" s="120">
        <f t="shared" si="7"/>
        <v>0</v>
      </c>
      <c r="N67" s="125">
        <f t="shared" si="7"/>
        <v>98930</v>
      </c>
      <c r="O67" s="26">
        <v>0</v>
      </c>
      <c r="P67" s="27">
        <v>0</v>
      </c>
      <c r="Q67" s="173"/>
      <c r="R67" s="18"/>
    </row>
    <row r="68" spans="1:18" ht="28.5" customHeight="1" thickBot="1">
      <c r="A68" s="29" t="s">
        <v>169</v>
      </c>
      <c r="B68" s="340" t="s">
        <v>152</v>
      </c>
      <c r="C68" s="341"/>
      <c r="D68" s="342"/>
      <c r="E68" s="112">
        <v>0</v>
      </c>
      <c r="F68" s="108">
        <f>125000+E68</f>
        <v>125000</v>
      </c>
      <c r="G68" s="13"/>
      <c r="H68" s="15"/>
      <c r="I68" s="15"/>
      <c r="J68" s="15"/>
      <c r="K68" s="15">
        <f>G68</f>
        <v>0</v>
      </c>
      <c r="L68" s="15">
        <f>26070+K68</f>
        <v>26070</v>
      </c>
      <c r="M68" s="119">
        <f t="shared" si="7"/>
        <v>0</v>
      </c>
      <c r="N68" s="124">
        <f t="shared" si="7"/>
        <v>98930</v>
      </c>
      <c r="O68" s="31">
        <v>0</v>
      </c>
      <c r="P68" s="123">
        <v>0</v>
      </c>
      <c r="Q68" s="173"/>
      <c r="R68" s="18"/>
    </row>
    <row r="69" spans="1:18" ht="33" customHeight="1" thickBot="1">
      <c r="A69" s="29" t="s">
        <v>170</v>
      </c>
      <c r="B69" s="340" t="s">
        <v>171</v>
      </c>
      <c r="C69" s="341"/>
      <c r="D69" s="342"/>
      <c r="E69" s="112"/>
      <c r="F69" s="108"/>
      <c r="G69" s="13"/>
      <c r="H69" s="15"/>
      <c r="I69" s="15"/>
      <c r="J69" s="15"/>
      <c r="K69" s="15">
        <f>G69</f>
        <v>0</v>
      </c>
      <c r="L69" s="15">
        <f>0+K69</f>
        <v>0</v>
      </c>
      <c r="M69" s="119">
        <f t="shared" si="7"/>
        <v>0</v>
      </c>
      <c r="N69" s="124">
        <f t="shared" si="7"/>
        <v>0</v>
      </c>
      <c r="O69" s="31">
        <v>0</v>
      </c>
      <c r="P69" s="123">
        <v>0</v>
      </c>
      <c r="Q69" s="173"/>
      <c r="R69" s="18"/>
    </row>
    <row r="70" spans="1:18" ht="25.5" customHeight="1" thickBot="1">
      <c r="A70" s="29" t="s">
        <v>172</v>
      </c>
      <c r="B70" s="340" t="s">
        <v>154</v>
      </c>
      <c r="C70" s="341"/>
      <c r="D70" s="342"/>
      <c r="E70" s="113"/>
      <c r="F70" s="108"/>
      <c r="G70" s="13"/>
      <c r="H70" s="15"/>
      <c r="I70" s="15"/>
      <c r="J70" s="15"/>
      <c r="K70" s="15">
        <f>0+J70</f>
        <v>0</v>
      </c>
      <c r="L70" s="15">
        <f>0+K70</f>
        <v>0</v>
      </c>
      <c r="M70" s="119">
        <f t="shared" si="7"/>
        <v>0</v>
      </c>
      <c r="N70" s="124">
        <f t="shared" si="7"/>
        <v>0</v>
      </c>
      <c r="O70" s="31">
        <v>0</v>
      </c>
      <c r="P70" s="123">
        <v>0</v>
      </c>
      <c r="Q70" s="173"/>
      <c r="R70" s="18"/>
    </row>
    <row r="71" spans="1:18" ht="24.75" customHeight="1" thickBot="1">
      <c r="A71" s="30" t="s">
        <v>69</v>
      </c>
      <c r="B71" s="508" t="s">
        <v>227</v>
      </c>
      <c r="C71" s="509"/>
      <c r="D71" s="510"/>
      <c r="E71" s="81">
        <f>E72+E73</f>
        <v>3000</v>
      </c>
      <c r="F71" s="114">
        <f>21000+E71</f>
        <v>24000</v>
      </c>
      <c r="G71" s="32">
        <f>G72+G73</f>
        <v>1305</v>
      </c>
      <c r="H71" s="23"/>
      <c r="I71" s="23"/>
      <c r="J71" s="23"/>
      <c r="K71" s="23">
        <f>G71</f>
        <v>1305</v>
      </c>
      <c r="L71" s="23">
        <f>L72</f>
        <v>46112.62</v>
      </c>
      <c r="M71" s="120">
        <f t="shared" si="7"/>
        <v>1695</v>
      </c>
      <c r="N71" s="125">
        <f t="shared" si="7"/>
        <v>-22112.620000000003</v>
      </c>
      <c r="O71" s="26">
        <v>0</v>
      </c>
      <c r="P71" s="27">
        <v>0</v>
      </c>
      <c r="Q71" s="173"/>
      <c r="R71" s="173"/>
    </row>
    <row r="72" spans="1:18" ht="31.5" customHeight="1" thickBot="1">
      <c r="A72" s="29" t="s">
        <v>169</v>
      </c>
      <c r="B72" s="340" t="s">
        <v>152</v>
      </c>
      <c r="C72" s="341"/>
      <c r="D72" s="342"/>
      <c r="E72" s="112">
        <v>3000</v>
      </c>
      <c r="F72" s="108">
        <f>21000+E72</f>
        <v>24000</v>
      </c>
      <c r="G72" s="13">
        <v>1305</v>
      </c>
      <c r="H72" s="15"/>
      <c r="I72" s="15"/>
      <c r="J72" s="15"/>
      <c r="K72" s="15">
        <f>G72</f>
        <v>1305</v>
      </c>
      <c r="L72" s="15">
        <f>44807.62+K72</f>
        <v>46112.62</v>
      </c>
      <c r="M72" s="119">
        <f aca="true" t="shared" si="8" ref="M72:N82">E72-K72</f>
        <v>1695</v>
      </c>
      <c r="N72" s="124">
        <f t="shared" si="8"/>
        <v>-22112.620000000003</v>
      </c>
      <c r="O72" s="31">
        <v>0</v>
      </c>
      <c r="P72" s="123">
        <v>0</v>
      </c>
      <c r="Q72" s="173"/>
      <c r="R72" s="173"/>
    </row>
    <row r="73" spans="1:18" ht="27" customHeight="1" thickBot="1">
      <c r="A73" s="29" t="s">
        <v>172</v>
      </c>
      <c r="B73" s="340" t="s">
        <v>154</v>
      </c>
      <c r="C73" s="341"/>
      <c r="D73" s="342"/>
      <c r="E73" s="113"/>
      <c r="F73" s="108"/>
      <c r="G73" s="13"/>
      <c r="H73" s="15"/>
      <c r="I73" s="15"/>
      <c r="J73" s="15"/>
      <c r="K73" s="15">
        <f>0+J73</f>
        <v>0</v>
      </c>
      <c r="L73" s="15">
        <f>0+K73</f>
        <v>0</v>
      </c>
      <c r="M73" s="119">
        <f t="shared" si="8"/>
        <v>0</v>
      </c>
      <c r="N73" s="124">
        <f t="shared" si="8"/>
        <v>0</v>
      </c>
      <c r="O73" s="31">
        <v>0</v>
      </c>
      <c r="P73" s="123">
        <v>0</v>
      </c>
      <c r="Q73" s="173"/>
      <c r="R73" s="173"/>
    </row>
    <row r="74" spans="1:18" ht="36.75" customHeight="1" thickBot="1">
      <c r="A74" s="30" t="s">
        <v>71</v>
      </c>
      <c r="B74" s="508" t="s">
        <v>72</v>
      </c>
      <c r="C74" s="509"/>
      <c r="D74" s="510"/>
      <c r="E74" s="81">
        <f>E75</f>
        <v>4000</v>
      </c>
      <c r="F74" s="114">
        <f>F75</f>
        <v>221500</v>
      </c>
      <c r="G74" s="32">
        <f>G75+G76+G77</f>
        <v>3204</v>
      </c>
      <c r="H74" s="23"/>
      <c r="I74" s="23">
        <f>I75+I76</f>
        <v>0</v>
      </c>
      <c r="J74" s="23"/>
      <c r="K74" s="23">
        <f>K75+K76+K77</f>
        <v>3204</v>
      </c>
      <c r="L74" s="23">
        <f>L75+L76+L77</f>
        <v>275145.22</v>
      </c>
      <c r="M74" s="120">
        <f t="shared" si="8"/>
        <v>796</v>
      </c>
      <c r="N74" s="125">
        <f t="shared" si="8"/>
        <v>-53645.21999999997</v>
      </c>
      <c r="O74" s="26">
        <v>0</v>
      </c>
      <c r="P74" s="27">
        <v>0</v>
      </c>
      <c r="Q74" s="173"/>
      <c r="R74" s="173"/>
    </row>
    <row r="75" spans="1:18" ht="28.5" customHeight="1" thickBot="1">
      <c r="A75" s="29" t="s">
        <v>173</v>
      </c>
      <c r="B75" s="340" t="s">
        <v>152</v>
      </c>
      <c r="C75" s="341"/>
      <c r="D75" s="342"/>
      <c r="E75" s="249">
        <v>4000</v>
      </c>
      <c r="F75" s="108">
        <f>217500+E75</f>
        <v>221500</v>
      </c>
      <c r="G75" s="13">
        <v>3204</v>
      </c>
      <c r="H75" s="15"/>
      <c r="I75" s="15"/>
      <c r="J75" s="15"/>
      <c r="K75" s="15">
        <f>G75</f>
        <v>3204</v>
      </c>
      <c r="L75" s="15">
        <f>253941.22+K75</f>
        <v>257145.22</v>
      </c>
      <c r="M75" s="119">
        <f t="shared" si="8"/>
        <v>796</v>
      </c>
      <c r="N75" s="124">
        <f t="shared" si="8"/>
        <v>-35645.22</v>
      </c>
      <c r="O75" s="31">
        <v>0</v>
      </c>
      <c r="P75" s="123">
        <v>0</v>
      </c>
      <c r="Q75" s="173"/>
      <c r="R75" s="173"/>
    </row>
    <row r="76" spans="1:18" ht="31.5" customHeight="1" thickBot="1">
      <c r="A76" s="29" t="s">
        <v>174</v>
      </c>
      <c r="B76" s="340" t="s">
        <v>171</v>
      </c>
      <c r="C76" s="341"/>
      <c r="D76" s="342"/>
      <c r="E76" s="113"/>
      <c r="F76" s="108"/>
      <c r="G76" s="13"/>
      <c r="H76" s="15"/>
      <c r="I76" s="15"/>
      <c r="J76" s="15"/>
      <c r="K76" s="15">
        <f>I76</f>
        <v>0</v>
      </c>
      <c r="L76" s="15">
        <f>18000+K76</f>
        <v>18000</v>
      </c>
      <c r="M76" s="119">
        <f t="shared" si="8"/>
        <v>0</v>
      </c>
      <c r="N76" s="124">
        <f t="shared" si="8"/>
        <v>-18000</v>
      </c>
      <c r="O76" s="31">
        <v>0</v>
      </c>
      <c r="P76" s="123">
        <v>0</v>
      </c>
      <c r="Q76" s="173"/>
      <c r="R76" s="173"/>
    </row>
    <row r="77" spans="1:18" ht="22.5" customHeight="1" thickBot="1">
      <c r="A77" s="29" t="s">
        <v>175</v>
      </c>
      <c r="B77" s="96" t="s">
        <v>154</v>
      </c>
      <c r="C77" s="97"/>
      <c r="D77" s="98"/>
      <c r="E77" s="112"/>
      <c r="F77" s="108"/>
      <c r="G77" s="13"/>
      <c r="H77" s="15"/>
      <c r="I77" s="15"/>
      <c r="J77" s="15"/>
      <c r="K77" s="15">
        <f aca="true" t="shared" si="9" ref="K77:L82">0+J77</f>
        <v>0</v>
      </c>
      <c r="L77" s="15">
        <f t="shared" si="9"/>
        <v>0</v>
      </c>
      <c r="M77" s="119">
        <f t="shared" si="8"/>
        <v>0</v>
      </c>
      <c r="N77" s="124">
        <f t="shared" si="8"/>
        <v>0</v>
      </c>
      <c r="O77" s="31">
        <v>0</v>
      </c>
      <c r="P77" s="123">
        <v>0</v>
      </c>
      <c r="Q77" s="173"/>
      <c r="R77" s="173"/>
    </row>
    <row r="78" spans="1:18" ht="45" customHeight="1" thickBot="1">
      <c r="A78" s="128" t="s">
        <v>73</v>
      </c>
      <c r="B78" s="395" t="s">
        <v>74</v>
      </c>
      <c r="C78" s="396"/>
      <c r="D78" s="397"/>
      <c r="E78" s="81">
        <f>E79</f>
        <v>0</v>
      </c>
      <c r="F78" s="114">
        <f>F79</f>
        <v>3000</v>
      </c>
      <c r="G78" s="32"/>
      <c r="H78" s="23"/>
      <c r="I78" s="23"/>
      <c r="J78" s="23"/>
      <c r="K78" s="23">
        <f t="shared" si="9"/>
        <v>0</v>
      </c>
      <c r="L78" s="23">
        <f>L79</f>
        <v>1773</v>
      </c>
      <c r="M78" s="120">
        <f t="shared" si="8"/>
        <v>0</v>
      </c>
      <c r="N78" s="125">
        <f t="shared" si="8"/>
        <v>1227</v>
      </c>
      <c r="O78" s="26">
        <v>0</v>
      </c>
      <c r="P78" s="27">
        <v>0</v>
      </c>
      <c r="Q78" s="173"/>
      <c r="R78" s="173"/>
    </row>
    <row r="79" spans="1:18" ht="29.25" customHeight="1" thickBot="1">
      <c r="A79" s="29" t="s">
        <v>176</v>
      </c>
      <c r="B79" s="340" t="s">
        <v>152</v>
      </c>
      <c r="C79" s="341"/>
      <c r="D79" s="342"/>
      <c r="E79" s="113"/>
      <c r="F79" s="108">
        <f>3000+E79</f>
        <v>3000</v>
      </c>
      <c r="G79" s="13"/>
      <c r="H79" s="15"/>
      <c r="I79" s="15"/>
      <c r="J79" s="15"/>
      <c r="K79" s="15">
        <f t="shared" si="9"/>
        <v>0</v>
      </c>
      <c r="L79" s="15">
        <f>1773+K79</f>
        <v>1773</v>
      </c>
      <c r="M79" s="119">
        <f t="shared" si="8"/>
        <v>0</v>
      </c>
      <c r="N79" s="124">
        <f t="shared" si="8"/>
        <v>1227</v>
      </c>
      <c r="O79" s="31">
        <v>0</v>
      </c>
      <c r="P79" s="123">
        <v>0</v>
      </c>
      <c r="Q79" s="173"/>
      <c r="R79" s="173"/>
    </row>
    <row r="80" spans="1:18" ht="24.75" customHeight="1" thickBot="1">
      <c r="A80" s="128" t="s">
        <v>75</v>
      </c>
      <c r="B80" s="395" t="s">
        <v>76</v>
      </c>
      <c r="C80" s="396"/>
      <c r="D80" s="397"/>
      <c r="E80" s="81">
        <f>E81</f>
        <v>18500</v>
      </c>
      <c r="F80" s="114">
        <f>F81</f>
        <v>37000</v>
      </c>
      <c r="G80" s="32"/>
      <c r="H80" s="23"/>
      <c r="I80" s="23"/>
      <c r="J80" s="23"/>
      <c r="K80" s="23">
        <f t="shared" si="9"/>
        <v>0</v>
      </c>
      <c r="L80" s="23">
        <f>0+K80</f>
        <v>0</v>
      </c>
      <c r="M80" s="120">
        <f t="shared" si="8"/>
        <v>18500</v>
      </c>
      <c r="N80" s="125">
        <f t="shared" si="8"/>
        <v>37000</v>
      </c>
      <c r="O80" s="26">
        <v>0</v>
      </c>
      <c r="P80" s="27">
        <v>0</v>
      </c>
      <c r="Q80" s="173"/>
      <c r="R80" s="173"/>
    </row>
    <row r="81" spans="1:18" ht="26.25" customHeight="1" thickBot="1">
      <c r="A81" s="29" t="s">
        <v>177</v>
      </c>
      <c r="B81" s="340" t="s">
        <v>152</v>
      </c>
      <c r="C81" s="341"/>
      <c r="D81" s="342"/>
      <c r="E81" s="113">
        <v>18500</v>
      </c>
      <c r="F81" s="108">
        <f>18500+E81</f>
        <v>37000</v>
      </c>
      <c r="G81" s="198"/>
      <c r="H81" s="199"/>
      <c r="I81" s="93"/>
      <c r="J81" s="199"/>
      <c r="K81" s="15">
        <f t="shared" si="9"/>
        <v>0</v>
      </c>
      <c r="L81" s="15">
        <f>0+K81</f>
        <v>0</v>
      </c>
      <c r="M81" s="119">
        <f t="shared" si="8"/>
        <v>18500</v>
      </c>
      <c r="N81" s="124">
        <f t="shared" si="8"/>
        <v>37000</v>
      </c>
      <c r="O81" s="31">
        <v>0</v>
      </c>
      <c r="P81" s="123">
        <v>0</v>
      </c>
      <c r="Q81" s="173"/>
      <c r="R81" s="173"/>
    </row>
    <row r="82" spans="1:18" ht="19.5" customHeight="1" thickBot="1">
      <c r="A82" s="29" t="s">
        <v>178</v>
      </c>
      <c r="B82" s="96" t="s">
        <v>154</v>
      </c>
      <c r="C82" s="97"/>
      <c r="D82" s="98"/>
      <c r="E82" s="113"/>
      <c r="F82" s="15"/>
      <c r="G82" s="13"/>
      <c r="H82" s="200"/>
      <c r="I82" s="15"/>
      <c r="J82" s="200"/>
      <c r="K82" s="15">
        <f t="shared" si="9"/>
        <v>0</v>
      </c>
      <c r="L82" s="15">
        <f t="shared" si="9"/>
        <v>0</v>
      </c>
      <c r="M82" s="119">
        <f t="shared" si="8"/>
        <v>0</v>
      </c>
      <c r="N82" s="124">
        <f t="shared" si="8"/>
        <v>0</v>
      </c>
      <c r="O82" s="31">
        <v>0</v>
      </c>
      <c r="P82" s="123">
        <v>0</v>
      </c>
      <c r="Q82" s="173"/>
      <c r="R82" s="173"/>
    </row>
    <row r="83" spans="1:18" ht="15">
      <c r="A83" s="398"/>
      <c r="B83" s="591" t="s">
        <v>30</v>
      </c>
      <c r="C83" s="592"/>
      <c r="D83" s="592"/>
      <c r="E83" s="592"/>
      <c r="F83" s="592"/>
      <c r="G83" s="592"/>
      <c r="H83" s="592"/>
      <c r="I83" s="592"/>
      <c r="J83" s="592"/>
      <c r="K83" s="592"/>
      <c r="L83" s="592"/>
      <c r="M83" s="592"/>
      <c r="N83" s="592"/>
      <c r="O83" s="592"/>
      <c r="P83" s="593"/>
      <c r="Q83" s="173"/>
      <c r="R83" s="173"/>
    </row>
    <row r="84" spans="1:18" ht="2.25" customHeight="1" thickBot="1">
      <c r="A84" s="399"/>
      <c r="B84" s="594"/>
      <c r="C84" s="595"/>
      <c r="D84" s="595"/>
      <c r="E84" s="595"/>
      <c r="F84" s="595"/>
      <c r="G84" s="595"/>
      <c r="H84" s="595"/>
      <c r="I84" s="595"/>
      <c r="J84" s="595"/>
      <c r="K84" s="595"/>
      <c r="L84" s="595"/>
      <c r="M84" s="595"/>
      <c r="N84" s="595"/>
      <c r="O84" s="595"/>
      <c r="P84" s="596"/>
      <c r="Q84" s="173"/>
      <c r="R84" s="173"/>
    </row>
    <row r="85" spans="1:18" ht="15.75" thickBot="1">
      <c r="A85" s="398"/>
      <c r="B85" s="550" t="s">
        <v>14</v>
      </c>
      <c r="C85" s="551"/>
      <c r="D85" s="552"/>
      <c r="E85" s="581" t="s">
        <v>24</v>
      </c>
      <c r="F85" s="583" t="s">
        <v>25</v>
      </c>
      <c r="G85" s="532" t="s">
        <v>31</v>
      </c>
      <c r="H85" s="522"/>
      <c r="I85" s="522"/>
      <c r="J85" s="522"/>
      <c r="K85" s="533"/>
      <c r="L85" s="534" t="s">
        <v>16</v>
      </c>
      <c r="M85" s="534" t="s">
        <v>17</v>
      </c>
      <c r="N85" s="534" t="s">
        <v>18</v>
      </c>
      <c r="O85" s="534" t="s">
        <v>19</v>
      </c>
      <c r="P85" s="534" t="s">
        <v>20</v>
      </c>
      <c r="Q85" s="173"/>
      <c r="R85" s="173"/>
    </row>
    <row r="86" spans="1:18" ht="70.5" customHeight="1" thickBot="1">
      <c r="A86" s="399"/>
      <c r="B86" s="553"/>
      <c r="C86" s="554"/>
      <c r="D86" s="555"/>
      <c r="E86" s="582"/>
      <c r="F86" s="584"/>
      <c r="G86" s="301" t="s">
        <v>32</v>
      </c>
      <c r="H86" s="301" t="s">
        <v>33</v>
      </c>
      <c r="I86" s="301" t="s">
        <v>34</v>
      </c>
      <c r="J86" s="175" t="s">
        <v>77</v>
      </c>
      <c r="K86" s="176" t="s">
        <v>27</v>
      </c>
      <c r="L86" s="535"/>
      <c r="M86" s="535"/>
      <c r="N86" s="535"/>
      <c r="O86" s="535"/>
      <c r="P86" s="535"/>
      <c r="Q86" s="173"/>
      <c r="R86" s="173"/>
    </row>
    <row r="87" spans="1:18" ht="13.5" customHeight="1" thickBot="1">
      <c r="A87" s="29"/>
      <c r="B87" s="536">
        <v>1</v>
      </c>
      <c r="C87" s="537"/>
      <c r="D87" s="538"/>
      <c r="E87" s="180" t="s">
        <v>22</v>
      </c>
      <c r="F87" s="301">
        <v>3</v>
      </c>
      <c r="G87" s="301">
        <v>4</v>
      </c>
      <c r="H87" s="301">
        <v>5</v>
      </c>
      <c r="I87" s="175">
        <v>6</v>
      </c>
      <c r="J87" s="175">
        <v>7</v>
      </c>
      <c r="K87" s="192">
        <v>8</v>
      </c>
      <c r="L87" s="305">
        <v>9</v>
      </c>
      <c r="M87" s="175">
        <v>10</v>
      </c>
      <c r="N87" s="305">
        <v>11</v>
      </c>
      <c r="O87" s="175">
        <v>12</v>
      </c>
      <c r="P87" s="305">
        <v>13</v>
      </c>
      <c r="Q87" s="173"/>
      <c r="R87" s="173"/>
    </row>
    <row r="88" spans="1:18" ht="41.25" customHeight="1" thickBot="1">
      <c r="A88" s="22" t="s">
        <v>78</v>
      </c>
      <c r="B88" s="395" t="s">
        <v>79</v>
      </c>
      <c r="C88" s="396"/>
      <c r="D88" s="397"/>
      <c r="E88" s="81">
        <f>E89</f>
        <v>27555</v>
      </c>
      <c r="F88" s="114">
        <f>241995+E88</f>
        <v>269550</v>
      </c>
      <c r="G88" s="81">
        <f>G89+G90+G91+G92</f>
        <v>5791.94</v>
      </c>
      <c r="H88" s="23"/>
      <c r="I88" s="23">
        <f>I89+I90+I91</f>
        <v>0</v>
      </c>
      <c r="J88" s="23"/>
      <c r="K88" s="83">
        <f>K89+K90+K91+K92</f>
        <v>5791.94</v>
      </c>
      <c r="L88" s="23">
        <f>282678+K88</f>
        <v>288469.94</v>
      </c>
      <c r="M88" s="120">
        <f aca="true" t="shared" si="10" ref="M88:N103">E88-K88</f>
        <v>21763.06</v>
      </c>
      <c r="N88" s="125">
        <f t="shared" si="10"/>
        <v>-18919.940000000002</v>
      </c>
      <c r="O88" s="26">
        <v>0</v>
      </c>
      <c r="P88" s="27">
        <v>0</v>
      </c>
      <c r="Q88" s="18"/>
      <c r="R88" s="173"/>
    </row>
    <row r="89" spans="1:18" ht="29.25" customHeight="1" thickBot="1">
      <c r="A89" s="29" t="s">
        <v>179</v>
      </c>
      <c r="B89" s="340" t="s">
        <v>152</v>
      </c>
      <c r="C89" s="341"/>
      <c r="D89" s="342"/>
      <c r="E89" s="249">
        <f>E93+E94+E96+E97+E98+E100+E99+E95</f>
        <v>27555</v>
      </c>
      <c r="F89" s="108">
        <f>F93+F94+F95+F96+F97+F98+F99+F100</f>
        <v>269550</v>
      </c>
      <c r="G89" s="82">
        <f>G93+G94+G96+G97+G98+G99+G100</f>
        <v>5791.94</v>
      </c>
      <c r="H89" s="15"/>
      <c r="I89" s="15"/>
      <c r="J89" s="15"/>
      <c r="K89" s="84">
        <f>G89</f>
        <v>5791.94</v>
      </c>
      <c r="L89" s="15">
        <f>L93+L94+L96+L97+L98+L99+L100+L95</f>
        <v>288469.94</v>
      </c>
      <c r="M89" s="119">
        <f t="shared" si="10"/>
        <v>21763.06</v>
      </c>
      <c r="N89" s="124">
        <f t="shared" si="10"/>
        <v>-18919.940000000002</v>
      </c>
      <c r="O89" s="31">
        <v>0</v>
      </c>
      <c r="P89" s="123">
        <v>0</v>
      </c>
      <c r="Q89" s="18"/>
      <c r="R89" s="173"/>
    </row>
    <row r="90" spans="1:18" ht="16.5" customHeight="1" thickBot="1">
      <c r="A90" s="29" t="s">
        <v>180</v>
      </c>
      <c r="B90" s="390" t="s">
        <v>151</v>
      </c>
      <c r="C90" s="391"/>
      <c r="D90" s="392"/>
      <c r="E90" s="112"/>
      <c r="F90" s="108"/>
      <c r="G90" s="82"/>
      <c r="H90" s="15"/>
      <c r="I90" s="15"/>
      <c r="J90" s="15"/>
      <c r="K90" s="84">
        <f aca="true" t="shared" si="11" ref="K90:K99">G90</f>
        <v>0</v>
      </c>
      <c r="L90" s="15">
        <f aca="true" t="shared" si="12" ref="L90:L120">0+K90</f>
        <v>0</v>
      </c>
      <c r="M90" s="119">
        <f t="shared" si="10"/>
        <v>0</v>
      </c>
      <c r="N90" s="124">
        <f t="shared" si="10"/>
        <v>0</v>
      </c>
      <c r="O90" s="31">
        <v>0</v>
      </c>
      <c r="P90" s="123">
        <v>0</v>
      </c>
      <c r="Q90" s="18"/>
      <c r="R90" s="173"/>
    </row>
    <row r="91" spans="1:18" ht="26.25" customHeight="1" thickBot="1">
      <c r="A91" s="29" t="s">
        <v>181</v>
      </c>
      <c r="B91" s="340" t="s">
        <v>171</v>
      </c>
      <c r="C91" s="341"/>
      <c r="D91" s="342"/>
      <c r="E91" s="112" t="s">
        <v>248</v>
      </c>
      <c r="F91" s="108"/>
      <c r="G91" s="82"/>
      <c r="H91" s="15"/>
      <c r="I91" s="15">
        <f>I97</f>
        <v>0</v>
      </c>
      <c r="J91" s="15"/>
      <c r="K91" s="84">
        <f>I91</f>
        <v>0</v>
      </c>
      <c r="L91" s="15">
        <f t="shared" si="12"/>
        <v>0</v>
      </c>
      <c r="M91" s="119" t="e">
        <f t="shared" si="10"/>
        <v>#VALUE!</v>
      </c>
      <c r="N91" s="124">
        <f t="shared" si="10"/>
        <v>0</v>
      </c>
      <c r="O91" s="31">
        <v>0</v>
      </c>
      <c r="P91" s="123">
        <v>0</v>
      </c>
      <c r="Q91" s="18"/>
      <c r="R91" s="173"/>
    </row>
    <row r="92" spans="1:18" ht="17.25" customHeight="1" thickBot="1">
      <c r="A92" s="29" t="s">
        <v>182</v>
      </c>
      <c r="B92" s="340" t="s">
        <v>154</v>
      </c>
      <c r="C92" s="341"/>
      <c r="D92" s="342"/>
      <c r="E92" s="112"/>
      <c r="F92" s="108"/>
      <c r="G92" s="82"/>
      <c r="H92" s="15"/>
      <c r="I92" s="15"/>
      <c r="J92" s="15"/>
      <c r="K92" s="84">
        <f t="shared" si="11"/>
        <v>0</v>
      </c>
      <c r="L92" s="15">
        <f t="shared" si="12"/>
        <v>0</v>
      </c>
      <c r="M92" s="119">
        <f t="shared" si="10"/>
        <v>0</v>
      </c>
      <c r="N92" s="124">
        <f t="shared" si="10"/>
        <v>0</v>
      </c>
      <c r="O92" s="31">
        <v>0</v>
      </c>
      <c r="P92" s="123">
        <v>0</v>
      </c>
      <c r="Q92" s="18"/>
      <c r="R92" s="196">
        <f>L93+L94+L95+L96+L97+L98+L99+L100</f>
        <v>288469.94</v>
      </c>
    </row>
    <row r="93" spans="1:18" ht="18" customHeight="1" thickBot="1">
      <c r="A93" s="29" t="s">
        <v>80</v>
      </c>
      <c r="B93" s="359" t="s">
        <v>81</v>
      </c>
      <c r="C93" s="360"/>
      <c r="D93" s="361"/>
      <c r="E93" s="108">
        <v>3000</v>
      </c>
      <c r="F93" s="108">
        <f>27000+E93</f>
        <v>30000</v>
      </c>
      <c r="G93" s="82"/>
      <c r="H93" s="13"/>
      <c r="I93" s="13"/>
      <c r="J93" s="13"/>
      <c r="K93" s="84">
        <f t="shared" si="11"/>
        <v>0</v>
      </c>
      <c r="L93" s="15">
        <f>27000+K93</f>
        <v>27000</v>
      </c>
      <c r="M93" s="119">
        <f t="shared" si="10"/>
        <v>3000</v>
      </c>
      <c r="N93" s="124">
        <f t="shared" si="10"/>
        <v>3000</v>
      </c>
      <c r="O93" s="31">
        <v>0</v>
      </c>
      <c r="P93" s="123">
        <v>0</v>
      </c>
      <c r="Q93" s="173"/>
      <c r="R93" s="18">
        <f>L89+L90+L91+L92</f>
        <v>288469.94</v>
      </c>
    </row>
    <row r="94" spans="1:18" ht="27" customHeight="1" thickBot="1">
      <c r="A94" s="29" t="s">
        <v>82</v>
      </c>
      <c r="B94" s="514" t="s">
        <v>209</v>
      </c>
      <c r="C94" s="515"/>
      <c r="D94" s="516"/>
      <c r="E94" s="108">
        <v>4400</v>
      </c>
      <c r="F94" s="108">
        <f>39600+E94</f>
        <v>44000</v>
      </c>
      <c r="G94" s="82"/>
      <c r="H94" s="13"/>
      <c r="I94" s="13"/>
      <c r="J94" s="13"/>
      <c r="K94" s="84">
        <f>G94</f>
        <v>0</v>
      </c>
      <c r="L94" s="15">
        <f>26400+K94</f>
        <v>26400</v>
      </c>
      <c r="M94" s="119">
        <f t="shared" si="10"/>
        <v>4400</v>
      </c>
      <c r="N94" s="124">
        <f t="shared" si="10"/>
        <v>17600</v>
      </c>
      <c r="O94" s="31">
        <v>0</v>
      </c>
      <c r="P94" s="123">
        <v>0</v>
      </c>
      <c r="Q94" s="173"/>
      <c r="R94" s="173"/>
    </row>
    <row r="95" spans="1:18" ht="27" customHeight="1" thickBot="1">
      <c r="A95" s="29" t="s">
        <v>83</v>
      </c>
      <c r="B95" s="427" t="s">
        <v>231</v>
      </c>
      <c r="C95" s="428"/>
      <c r="D95" s="429"/>
      <c r="E95" s="108"/>
      <c r="F95" s="108">
        <f>0+E95</f>
        <v>0</v>
      </c>
      <c r="G95" s="82"/>
      <c r="H95" s="13"/>
      <c r="I95" s="13"/>
      <c r="J95" s="13"/>
      <c r="K95" s="84">
        <f t="shared" si="11"/>
        <v>0</v>
      </c>
      <c r="L95" s="15">
        <f>77795+K95</f>
        <v>77795</v>
      </c>
      <c r="M95" s="119">
        <f t="shared" si="10"/>
        <v>0</v>
      </c>
      <c r="N95" s="124">
        <f t="shared" si="10"/>
        <v>-77795</v>
      </c>
      <c r="O95" s="31">
        <v>0</v>
      </c>
      <c r="P95" s="123">
        <v>0</v>
      </c>
      <c r="Q95" s="173"/>
      <c r="R95" s="173"/>
    </row>
    <row r="96" spans="1:18" ht="23.25" customHeight="1" thickBot="1">
      <c r="A96" s="29" t="s">
        <v>85</v>
      </c>
      <c r="B96" s="427" t="s">
        <v>86</v>
      </c>
      <c r="C96" s="428"/>
      <c r="D96" s="429"/>
      <c r="E96" s="108">
        <v>1355</v>
      </c>
      <c r="F96" s="108">
        <f>12195+E96</f>
        <v>13550</v>
      </c>
      <c r="G96" s="82"/>
      <c r="H96" s="13"/>
      <c r="I96" s="13"/>
      <c r="J96" s="13"/>
      <c r="K96" s="84">
        <f t="shared" si="11"/>
        <v>0</v>
      </c>
      <c r="L96" s="15">
        <f>10155+K96</f>
        <v>10155</v>
      </c>
      <c r="M96" s="119">
        <f t="shared" si="10"/>
        <v>1355</v>
      </c>
      <c r="N96" s="124">
        <f t="shared" si="10"/>
        <v>3395</v>
      </c>
      <c r="O96" s="31">
        <v>0</v>
      </c>
      <c r="P96" s="123">
        <v>0</v>
      </c>
      <c r="Q96" s="173"/>
      <c r="R96" s="173"/>
    </row>
    <row r="97" spans="1:18" ht="20.25" customHeight="1" thickBot="1">
      <c r="A97" s="29" t="s">
        <v>87</v>
      </c>
      <c r="B97" s="359" t="s">
        <v>88</v>
      </c>
      <c r="C97" s="360"/>
      <c r="D97" s="361"/>
      <c r="E97" s="108">
        <v>7500</v>
      </c>
      <c r="F97" s="108">
        <f>61500+E97</f>
        <v>69000</v>
      </c>
      <c r="G97" s="82">
        <v>5791.94</v>
      </c>
      <c r="H97" s="13"/>
      <c r="I97" s="13"/>
      <c r="J97" s="13"/>
      <c r="K97" s="84">
        <f>G97+I97</f>
        <v>5791.94</v>
      </c>
      <c r="L97" s="15">
        <f>48709.68+K97</f>
        <v>54501.62</v>
      </c>
      <c r="M97" s="119">
        <f t="shared" si="10"/>
        <v>1708.0600000000004</v>
      </c>
      <c r="N97" s="124">
        <f t="shared" si="10"/>
        <v>14498.379999999997</v>
      </c>
      <c r="O97" s="31">
        <v>0</v>
      </c>
      <c r="P97" s="123">
        <v>0</v>
      </c>
      <c r="Q97" s="173"/>
      <c r="R97" s="248">
        <f>F93+F94+F95+F96+F97+F98+F99+F100</f>
        <v>269550</v>
      </c>
    </row>
    <row r="98" spans="1:16" ht="21.75" customHeight="1" thickBot="1">
      <c r="A98" s="29" t="s">
        <v>89</v>
      </c>
      <c r="B98" s="359" t="s">
        <v>90</v>
      </c>
      <c r="C98" s="360"/>
      <c r="D98" s="361"/>
      <c r="E98" s="108">
        <v>1500</v>
      </c>
      <c r="F98" s="108">
        <f>13500+E98</f>
        <v>15000</v>
      </c>
      <c r="G98" s="82"/>
      <c r="H98" s="13"/>
      <c r="I98" s="13"/>
      <c r="J98" s="13"/>
      <c r="K98" s="84">
        <f t="shared" si="11"/>
        <v>0</v>
      </c>
      <c r="L98" s="15">
        <f>23676+K98</f>
        <v>23676</v>
      </c>
      <c r="M98" s="119">
        <f t="shared" si="10"/>
        <v>1500</v>
      </c>
      <c r="N98" s="124">
        <f t="shared" si="10"/>
        <v>-8676</v>
      </c>
      <c r="O98" s="31">
        <v>0</v>
      </c>
      <c r="P98" s="123">
        <v>0</v>
      </c>
    </row>
    <row r="99" spans="1:16" ht="27" customHeight="1" thickBot="1">
      <c r="A99" s="29" t="s">
        <v>91</v>
      </c>
      <c r="B99" s="359" t="s">
        <v>92</v>
      </c>
      <c r="C99" s="360"/>
      <c r="D99" s="361"/>
      <c r="E99" s="108">
        <v>0</v>
      </c>
      <c r="F99" s="108">
        <f>0+E99</f>
        <v>0</v>
      </c>
      <c r="G99" s="82"/>
      <c r="H99" s="13"/>
      <c r="I99" s="13"/>
      <c r="J99" s="13"/>
      <c r="K99" s="84">
        <f t="shared" si="11"/>
        <v>0</v>
      </c>
      <c r="L99" s="15">
        <f t="shared" si="12"/>
        <v>0</v>
      </c>
      <c r="M99" s="119">
        <f t="shared" si="10"/>
        <v>0</v>
      </c>
      <c r="N99" s="124">
        <f t="shared" si="10"/>
        <v>0</v>
      </c>
      <c r="O99" s="31">
        <v>0</v>
      </c>
      <c r="P99" s="123">
        <v>0</v>
      </c>
    </row>
    <row r="100" spans="1:16" ht="18.75" customHeight="1" thickBot="1">
      <c r="A100" s="29" t="s">
        <v>93</v>
      </c>
      <c r="B100" s="359" t="s">
        <v>94</v>
      </c>
      <c r="C100" s="360"/>
      <c r="D100" s="361"/>
      <c r="E100" s="108">
        <v>9800</v>
      </c>
      <c r="F100" s="108">
        <f>88200+E100</f>
        <v>98000</v>
      </c>
      <c r="G100" s="82"/>
      <c r="H100" s="13"/>
      <c r="I100" s="13"/>
      <c r="J100" s="13"/>
      <c r="K100" s="84">
        <f>G100</f>
        <v>0</v>
      </c>
      <c r="L100" s="15">
        <f>68942.32+K100</f>
        <v>68942.32</v>
      </c>
      <c r="M100" s="119">
        <f t="shared" si="10"/>
        <v>9800</v>
      </c>
      <c r="N100" s="124">
        <f t="shared" si="10"/>
        <v>29057.679999999993</v>
      </c>
      <c r="O100" s="31">
        <v>0</v>
      </c>
      <c r="P100" s="123">
        <v>0</v>
      </c>
    </row>
    <row r="101" spans="1:18" ht="34.5" customHeight="1" thickBot="1">
      <c r="A101" s="56" t="s">
        <v>95</v>
      </c>
      <c r="B101" s="425" t="s">
        <v>96</v>
      </c>
      <c r="C101" s="323"/>
      <c r="D101" s="324"/>
      <c r="E101" s="114">
        <f>E102+E103</f>
        <v>14250</v>
      </c>
      <c r="F101" s="114">
        <f>F102+F103</f>
        <v>822704</v>
      </c>
      <c r="G101" s="114">
        <f>G102+G104+G105</f>
        <v>15000</v>
      </c>
      <c r="H101" s="32">
        <f>H103</f>
        <v>0</v>
      </c>
      <c r="I101" s="23">
        <f>I104</f>
        <v>0</v>
      </c>
      <c r="J101" s="23"/>
      <c r="K101" s="114">
        <f>G101+H101+I101+J101</f>
        <v>15000</v>
      </c>
      <c r="L101" s="23">
        <f>L102+L103+L104+L105</f>
        <v>624040.86</v>
      </c>
      <c r="M101" s="120">
        <f t="shared" si="10"/>
        <v>-750</v>
      </c>
      <c r="N101" s="125">
        <f t="shared" si="10"/>
        <v>198663.14</v>
      </c>
      <c r="O101" s="26">
        <v>0</v>
      </c>
      <c r="P101" s="27">
        <v>0</v>
      </c>
      <c r="R101" s="197">
        <f>L102+L104-L101</f>
        <v>-153006</v>
      </c>
    </row>
    <row r="102" spans="1:18" ht="21" customHeight="1" thickBot="1">
      <c r="A102" s="29" t="s">
        <v>183</v>
      </c>
      <c r="B102" s="340" t="s">
        <v>152</v>
      </c>
      <c r="C102" s="341"/>
      <c r="D102" s="342"/>
      <c r="E102" s="112">
        <f>E106+E107+E114+E119+E131+E113+E128+E115+E120</f>
        <v>1500</v>
      </c>
      <c r="F102" s="108">
        <f>693700+E102</f>
        <v>695200</v>
      </c>
      <c r="G102" s="13">
        <f>G106+G107+G108+G109+G110+G111+G112+G113+G114+G115+G116+G117+G118+G119+G126+G127+G128+G129+G130+G131</f>
        <v>15000</v>
      </c>
      <c r="H102" s="13"/>
      <c r="I102" s="15"/>
      <c r="J102" s="15"/>
      <c r="K102" s="84">
        <f>G102</f>
        <v>15000</v>
      </c>
      <c r="L102" s="15">
        <f>342984.86+K102</f>
        <v>357984.86</v>
      </c>
      <c r="M102" s="119">
        <f t="shared" si="10"/>
        <v>-13500</v>
      </c>
      <c r="N102" s="124">
        <f t="shared" si="10"/>
        <v>337215.14</v>
      </c>
      <c r="O102" s="31">
        <v>0</v>
      </c>
      <c r="P102" s="123">
        <v>0</v>
      </c>
      <c r="R102" s="197"/>
    </row>
    <row r="103" spans="1:18" ht="15.75" thickBot="1">
      <c r="A103" s="29" t="s">
        <v>184</v>
      </c>
      <c r="B103" s="390" t="s">
        <v>151</v>
      </c>
      <c r="C103" s="391"/>
      <c r="D103" s="392"/>
      <c r="E103" s="112">
        <f>E129</f>
        <v>12750</v>
      </c>
      <c r="F103" s="108">
        <f>114754+E103</f>
        <v>127504</v>
      </c>
      <c r="G103" s="13"/>
      <c r="H103" s="13">
        <f>H129</f>
        <v>0</v>
      </c>
      <c r="I103" s="15"/>
      <c r="J103" s="15"/>
      <c r="K103" s="84">
        <f>H103</f>
        <v>0</v>
      </c>
      <c r="L103" s="15">
        <f>153006+K103</f>
        <v>153006</v>
      </c>
      <c r="M103" s="119">
        <f t="shared" si="10"/>
        <v>12750</v>
      </c>
      <c r="N103" s="124">
        <f t="shared" si="10"/>
        <v>-25502</v>
      </c>
      <c r="O103" s="31">
        <v>0</v>
      </c>
      <c r="P103" s="123">
        <v>0</v>
      </c>
      <c r="R103" s="201"/>
    </row>
    <row r="104" spans="1:16" ht="15.75" thickBot="1">
      <c r="A104" s="29" t="s">
        <v>185</v>
      </c>
      <c r="B104" s="340" t="s">
        <v>171</v>
      </c>
      <c r="C104" s="341"/>
      <c r="D104" s="342"/>
      <c r="E104" s="112"/>
      <c r="F104" s="108"/>
      <c r="G104" s="108"/>
      <c r="H104" s="13"/>
      <c r="I104" s="15">
        <f>I128</f>
        <v>0</v>
      </c>
      <c r="J104" s="15"/>
      <c r="K104" s="84">
        <f>I104</f>
        <v>0</v>
      </c>
      <c r="L104" s="15">
        <f>113050+K104</f>
        <v>113050</v>
      </c>
      <c r="M104" s="119">
        <f aca="true" t="shared" si="13" ref="M104:N120">E104-K104</f>
        <v>0</v>
      </c>
      <c r="N104" s="124">
        <f t="shared" si="13"/>
        <v>-113050</v>
      </c>
      <c r="O104" s="31">
        <v>0</v>
      </c>
      <c r="P104" s="123">
        <v>0</v>
      </c>
    </row>
    <row r="105" spans="1:18" ht="15.75" thickBot="1">
      <c r="A105" s="29" t="s">
        <v>186</v>
      </c>
      <c r="B105" s="390" t="s">
        <v>154</v>
      </c>
      <c r="C105" s="391"/>
      <c r="D105" s="392"/>
      <c r="E105" s="112"/>
      <c r="F105" s="108"/>
      <c r="G105" s="13"/>
      <c r="H105" s="13"/>
      <c r="I105" s="15"/>
      <c r="J105" s="15"/>
      <c r="K105" s="84">
        <f>G105</f>
        <v>0</v>
      </c>
      <c r="L105" s="15">
        <f t="shared" si="12"/>
        <v>0</v>
      </c>
      <c r="M105" s="119">
        <f t="shared" si="13"/>
        <v>0</v>
      </c>
      <c r="N105" s="124">
        <f t="shared" si="13"/>
        <v>0</v>
      </c>
      <c r="O105" s="31">
        <v>0</v>
      </c>
      <c r="P105" s="123">
        <v>0</v>
      </c>
      <c r="R105" s="197">
        <f>L106+L113+L114+L118+L119+L131</f>
        <v>161339.44</v>
      </c>
    </row>
    <row r="106" spans="1:16" ht="15.75" thickBot="1">
      <c r="A106" s="29" t="s">
        <v>97</v>
      </c>
      <c r="B106" s="511" t="s">
        <v>98</v>
      </c>
      <c r="C106" s="512"/>
      <c r="D106" s="513"/>
      <c r="E106" s="108"/>
      <c r="F106" s="108">
        <f>32600+E106</f>
        <v>32600</v>
      </c>
      <c r="G106" s="13"/>
      <c r="H106" s="13"/>
      <c r="I106" s="13"/>
      <c r="J106" s="13"/>
      <c r="K106" s="84">
        <f aca="true" t="shared" si="14" ref="K106:K120">G106</f>
        <v>0</v>
      </c>
      <c r="L106" s="15">
        <f>39800+K106</f>
        <v>39800</v>
      </c>
      <c r="M106" s="119">
        <f t="shared" si="13"/>
        <v>0</v>
      </c>
      <c r="N106" s="124">
        <f t="shared" si="13"/>
        <v>-7200</v>
      </c>
      <c r="O106" s="31">
        <v>0</v>
      </c>
      <c r="P106" s="123">
        <v>0</v>
      </c>
    </row>
    <row r="107" spans="1:16" ht="15.75" thickBot="1">
      <c r="A107" s="29" t="s">
        <v>99</v>
      </c>
      <c r="B107" s="359" t="s">
        <v>100</v>
      </c>
      <c r="C107" s="360"/>
      <c r="D107" s="361"/>
      <c r="E107" s="108"/>
      <c r="F107" s="108">
        <f>15000+E107</f>
        <v>15000</v>
      </c>
      <c r="G107" s="13"/>
      <c r="H107" s="13"/>
      <c r="I107" s="13"/>
      <c r="J107" s="13"/>
      <c r="K107" s="84">
        <f t="shared" si="14"/>
        <v>0</v>
      </c>
      <c r="L107" s="15">
        <f t="shared" si="12"/>
        <v>0</v>
      </c>
      <c r="M107" s="119">
        <f t="shared" si="13"/>
        <v>0</v>
      </c>
      <c r="N107" s="124">
        <f t="shared" si="13"/>
        <v>15000</v>
      </c>
      <c r="O107" s="31">
        <v>0</v>
      </c>
      <c r="P107" s="123">
        <v>0</v>
      </c>
    </row>
    <row r="108" spans="1:16" ht="15.75" thickBot="1">
      <c r="A108" s="29" t="s">
        <v>101</v>
      </c>
      <c r="B108" s="384" t="s">
        <v>102</v>
      </c>
      <c r="C108" s="385"/>
      <c r="D108" s="386"/>
      <c r="E108" s="108"/>
      <c r="F108" s="108"/>
      <c r="G108" s="13"/>
      <c r="H108" s="13"/>
      <c r="I108" s="13"/>
      <c r="J108" s="13"/>
      <c r="K108" s="84">
        <f t="shared" si="14"/>
        <v>0</v>
      </c>
      <c r="L108" s="15">
        <f t="shared" si="12"/>
        <v>0</v>
      </c>
      <c r="M108" s="119">
        <f t="shared" si="13"/>
        <v>0</v>
      </c>
      <c r="N108" s="124">
        <f t="shared" si="13"/>
        <v>0</v>
      </c>
      <c r="O108" s="31">
        <v>0</v>
      </c>
      <c r="P108" s="123">
        <v>0</v>
      </c>
    </row>
    <row r="109" spans="1:16" ht="15.75" thickBot="1">
      <c r="A109" s="29" t="s">
        <v>103</v>
      </c>
      <c r="B109" s="359" t="s">
        <v>104</v>
      </c>
      <c r="C109" s="360"/>
      <c r="D109" s="361"/>
      <c r="E109" s="108"/>
      <c r="F109" s="108"/>
      <c r="G109" s="13"/>
      <c r="H109" s="13"/>
      <c r="I109" s="13"/>
      <c r="J109" s="13"/>
      <c r="K109" s="84">
        <f t="shared" si="14"/>
        <v>0</v>
      </c>
      <c r="L109" s="15">
        <f t="shared" si="12"/>
        <v>0</v>
      </c>
      <c r="M109" s="119">
        <f t="shared" si="13"/>
        <v>0</v>
      </c>
      <c r="N109" s="124">
        <f t="shared" si="13"/>
        <v>0</v>
      </c>
      <c r="O109" s="31">
        <v>0</v>
      </c>
      <c r="P109" s="123">
        <v>0</v>
      </c>
    </row>
    <row r="110" spans="1:18" ht="15.75" thickBot="1">
      <c r="A110" s="29" t="s">
        <v>105</v>
      </c>
      <c r="B110" s="359" t="s">
        <v>106</v>
      </c>
      <c r="C110" s="360"/>
      <c r="D110" s="361"/>
      <c r="E110" s="108"/>
      <c r="F110" s="108"/>
      <c r="G110" s="13"/>
      <c r="H110" s="13"/>
      <c r="I110" s="13"/>
      <c r="J110" s="13"/>
      <c r="K110" s="84">
        <f t="shared" si="14"/>
        <v>0</v>
      </c>
      <c r="L110" s="15">
        <f t="shared" si="12"/>
        <v>0</v>
      </c>
      <c r="M110" s="119">
        <f t="shared" si="13"/>
        <v>0</v>
      </c>
      <c r="N110" s="124">
        <f t="shared" si="13"/>
        <v>0</v>
      </c>
      <c r="O110" s="31">
        <v>0</v>
      </c>
      <c r="P110" s="123">
        <v>0</v>
      </c>
      <c r="R110" s="201"/>
    </row>
    <row r="111" spans="1:16" ht="15.75" thickBot="1">
      <c r="A111" s="29" t="s">
        <v>107</v>
      </c>
      <c r="B111" s="384" t="s">
        <v>108</v>
      </c>
      <c r="C111" s="385"/>
      <c r="D111" s="386"/>
      <c r="E111" s="108"/>
      <c r="F111" s="108"/>
      <c r="G111" s="13"/>
      <c r="H111" s="13"/>
      <c r="I111" s="13"/>
      <c r="J111" s="13"/>
      <c r="K111" s="84">
        <f t="shared" si="14"/>
        <v>0</v>
      </c>
      <c r="L111" s="15">
        <f t="shared" si="12"/>
        <v>0</v>
      </c>
      <c r="M111" s="119">
        <f t="shared" si="13"/>
        <v>0</v>
      </c>
      <c r="N111" s="124">
        <f t="shared" si="13"/>
        <v>0</v>
      </c>
      <c r="O111" s="31">
        <v>0</v>
      </c>
      <c r="P111" s="123">
        <v>0</v>
      </c>
    </row>
    <row r="112" spans="1:16" ht="15.75" thickBot="1">
      <c r="A112" s="29" t="s">
        <v>109</v>
      </c>
      <c r="B112" s="359" t="s">
        <v>110</v>
      </c>
      <c r="C112" s="360"/>
      <c r="D112" s="361"/>
      <c r="E112" s="108"/>
      <c r="F112" s="108"/>
      <c r="G112" s="13"/>
      <c r="H112" s="13"/>
      <c r="I112" s="13"/>
      <c r="J112" s="13"/>
      <c r="K112" s="84">
        <f t="shared" si="14"/>
        <v>0</v>
      </c>
      <c r="L112" s="15">
        <f t="shared" si="12"/>
        <v>0</v>
      </c>
      <c r="M112" s="119">
        <f t="shared" si="13"/>
        <v>0</v>
      </c>
      <c r="N112" s="124">
        <f t="shared" si="13"/>
        <v>0</v>
      </c>
      <c r="O112" s="31">
        <v>0</v>
      </c>
      <c r="P112" s="123">
        <v>0</v>
      </c>
    </row>
    <row r="113" spans="1:16" ht="15.75" thickBot="1">
      <c r="A113" s="29" t="s">
        <v>111</v>
      </c>
      <c r="B113" s="359" t="s">
        <v>112</v>
      </c>
      <c r="C113" s="360"/>
      <c r="D113" s="361"/>
      <c r="E113" s="108"/>
      <c r="F113" s="108">
        <f>40000+E113</f>
        <v>40000</v>
      </c>
      <c r="G113" s="13"/>
      <c r="H113" s="13"/>
      <c r="I113" s="13"/>
      <c r="J113" s="13"/>
      <c r="K113" s="84">
        <f t="shared" si="14"/>
        <v>0</v>
      </c>
      <c r="L113" s="15">
        <f>30700+K113</f>
        <v>30700</v>
      </c>
      <c r="M113" s="119">
        <f t="shared" si="13"/>
        <v>0</v>
      </c>
      <c r="N113" s="124">
        <f t="shared" si="13"/>
        <v>9300</v>
      </c>
      <c r="O113" s="31">
        <v>0</v>
      </c>
      <c r="P113" s="123">
        <v>0</v>
      </c>
    </row>
    <row r="114" spans="1:16" ht="15.75" thickBot="1">
      <c r="A114" s="29" t="s">
        <v>113</v>
      </c>
      <c r="B114" s="359" t="s">
        <v>114</v>
      </c>
      <c r="C114" s="360"/>
      <c r="D114" s="361"/>
      <c r="E114" s="108">
        <v>1500</v>
      </c>
      <c r="F114" s="108">
        <f>13500+E114</f>
        <v>15000</v>
      </c>
      <c r="G114" s="13"/>
      <c r="H114" s="13"/>
      <c r="I114" s="13"/>
      <c r="J114" s="13"/>
      <c r="K114" s="84">
        <f t="shared" si="14"/>
        <v>0</v>
      </c>
      <c r="L114" s="15">
        <f>27170.77+K114</f>
        <v>27170.77</v>
      </c>
      <c r="M114" s="119">
        <f t="shared" si="13"/>
        <v>1500</v>
      </c>
      <c r="N114" s="124">
        <f t="shared" si="13"/>
        <v>-12170.77</v>
      </c>
      <c r="O114" s="31">
        <v>0</v>
      </c>
      <c r="P114" s="123">
        <v>0</v>
      </c>
    </row>
    <row r="115" spans="1:16" ht="15.75" thickBot="1">
      <c r="A115" s="29" t="s">
        <v>115</v>
      </c>
      <c r="B115" s="359" t="s">
        <v>116</v>
      </c>
      <c r="C115" s="360"/>
      <c r="D115" s="361"/>
      <c r="E115" s="108"/>
      <c r="F115" s="108">
        <f>160000+E115</f>
        <v>160000</v>
      </c>
      <c r="G115" s="13"/>
      <c r="H115" s="13"/>
      <c r="I115" s="13"/>
      <c r="J115" s="13"/>
      <c r="K115" s="84">
        <f t="shared" si="14"/>
        <v>0</v>
      </c>
      <c r="L115" s="15">
        <f t="shared" si="12"/>
        <v>0</v>
      </c>
      <c r="M115" s="119">
        <f t="shared" si="13"/>
        <v>0</v>
      </c>
      <c r="N115" s="124">
        <f t="shared" si="13"/>
        <v>160000</v>
      </c>
      <c r="O115" s="31">
        <v>0</v>
      </c>
      <c r="P115" s="123">
        <v>0</v>
      </c>
    </row>
    <row r="116" spans="1:16" ht="15.75" thickBot="1">
      <c r="A116" s="29" t="s">
        <v>117</v>
      </c>
      <c r="B116" s="359" t="s">
        <v>118</v>
      </c>
      <c r="C116" s="360"/>
      <c r="D116" s="361"/>
      <c r="E116" s="108"/>
      <c r="F116" s="108"/>
      <c r="G116" s="13"/>
      <c r="H116" s="13"/>
      <c r="I116" s="13"/>
      <c r="J116" s="13"/>
      <c r="K116" s="84">
        <f t="shared" si="14"/>
        <v>0</v>
      </c>
      <c r="L116" s="15">
        <f t="shared" si="12"/>
        <v>0</v>
      </c>
      <c r="M116" s="119">
        <f t="shared" si="13"/>
        <v>0</v>
      </c>
      <c r="N116" s="124">
        <f t="shared" si="13"/>
        <v>0</v>
      </c>
      <c r="O116" s="31">
        <v>0</v>
      </c>
      <c r="P116" s="123">
        <v>0</v>
      </c>
    </row>
    <row r="117" spans="1:16" ht="15.75" thickBot="1">
      <c r="A117" s="29"/>
      <c r="B117" s="359" t="s">
        <v>119</v>
      </c>
      <c r="C117" s="360"/>
      <c r="D117" s="361"/>
      <c r="E117" s="108"/>
      <c r="F117" s="108"/>
      <c r="G117" s="13"/>
      <c r="H117" s="13"/>
      <c r="I117" s="13"/>
      <c r="J117" s="13"/>
      <c r="K117" s="84">
        <f t="shared" si="14"/>
        <v>0</v>
      </c>
      <c r="L117" s="15">
        <f t="shared" si="12"/>
        <v>0</v>
      </c>
      <c r="M117" s="119">
        <f t="shared" si="13"/>
        <v>0</v>
      </c>
      <c r="N117" s="124">
        <f t="shared" si="13"/>
        <v>0</v>
      </c>
      <c r="O117" s="31">
        <v>0</v>
      </c>
      <c r="P117" s="123">
        <v>0</v>
      </c>
    </row>
    <row r="118" spans="1:16" ht="15.75" thickBot="1">
      <c r="A118" s="29" t="s">
        <v>120</v>
      </c>
      <c r="B118" s="359" t="s">
        <v>121</v>
      </c>
      <c r="C118" s="360"/>
      <c r="D118" s="361"/>
      <c r="E118" s="108"/>
      <c r="F118" s="108"/>
      <c r="G118" s="13"/>
      <c r="H118" s="13"/>
      <c r="I118" s="13"/>
      <c r="J118" s="13"/>
      <c r="K118" s="84">
        <f t="shared" si="14"/>
        <v>0</v>
      </c>
      <c r="L118" s="15">
        <f>2027.62+K118</f>
        <v>2027.62</v>
      </c>
      <c r="M118" s="119">
        <f t="shared" si="13"/>
        <v>0</v>
      </c>
      <c r="N118" s="124">
        <f t="shared" si="13"/>
        <v>-2027.62</v>
      </c>
      <c r="O118" s="31">
        <v>0</v>
      </c>
      <c r="P118" s="123">
        <v>0</v>
      </c>
    </row>
    <row r="119" spans="1:18" ht="15.75" thickBot="1">
      <c r="A119" s="29" t="s">
        <v>211</v>
      </c>
      <c r="B119" s="381" t="s">
        <v>122</v>
      </c>
      <c r="C119" s="382"/>
      <c r="D119" s="383"/>
      <c r="E119" s="108"/>
      <c r="F119" s="108">
        <f>36000+E119</f>
        <v>36000</v>
      </c>
      <c r="G119" s="13"/>
      <c r="H119" s="13"/>
      <c r="I119" s="13"/>
      <c r="J119" s="13"/>
      <c r="K119" s="84">
        <f t="shared" si="14"/>
        <v>0</v>
      </c>
      <c r="L119" s="15">
        <f>51706.38+K119</f>
        <v>51706.38</v>
      </c>
      <c r="M119" s="119">
        <f t="shared" si="13"/>
        <v>0</v>
      </c>
      <c r="N119" s="124">
        <f t="shared" si="13"/>
        <v>-15706.379999999997</v>
      </c>
      <c r="O119" s="31">
        <v>0</v>
      </c>
      <c r="P119" s="123">
        <v>0</v>
      </c>
      <c r="R119" s="201">
        <f>F131+F129+F128+F119+F115+F114+F113+F107+F106</f>
        <v>719353</v>
      </c>
    </row>
    <row r="120" spans="1:16" ht="15.75" thickBot="1">
      <c r="A120" s="34" t="s">
        <v>123</v>
      </c>
      <c r="B120" s="359" t="s">
        <v>124</v>
      </c>
      <c r="C120" s="360"/>
      <c r="D120" s="361"/>
      <c r="E120" s="108"/>
      <c r="F120" s="108"/>
      <c r="G120" s="13"/>
      <c r="H120" s="13"/>
      <c r="I120" s="13"/>
      <c r="J120" s="13"/>
      <c r="K120" s="84">
        <f t="shared" si="14"/>
        <v>0</v>
      </c>
      <c r="L120" s="15">
        <f t="shared" si="12"/>
        <v>0</v>
      </c>
      <c r="M120" s="119">
        <f t="shared" si="13"/>
        <v>0</v>
      </c>
      <c r="N120" s="124">
        <f t="shared" si="13"/>
        <v>0</v>
      </c>
      <c r="O120" s="31">
        <v>0</v>
      </c>
      <c r="P120" s="123">
        <v>0</v>
      </c>
    </row>
    <row r="121" spans="1:16" ht="15">
      <c r="A121" s="202"/>
      <c r="B121" s="576" t="s">
        <v>30</v>
      </c>
      <c r="C121" s="576"/>
      <c r="D121" s="576"/>
      <c r="E121" s="576"/>
      <c r="F121" s="576"/>
      <c r="G121" s="576"/>
      <c r="H121" s="576"/>
      <c r="I121" s="576"/>
      <c r="J121" s="576"/>
      <c r="K121" s="576"/>
      <c r="L121" s="576"/>
      <c r="M121" s="576"/>
      <c r="N121" s="576"/>
      <c r="O121" s="576"/>
      <c r="P121" s="577"/>
    </row>
    <row r="122" spans="1:16" ht="15.75" thickBot="1">
      <c r="A122" s="203"/>
      <c r="B122" s="579"/>
      <c r="C122" s="579"/>
      <c r="D122" s="579"/>
      <c r="E122" s="579"/>
      <c r="F122" s="579"/>
      <c r="G122" s="579"/>
      <c r="H122" s="579"/>
      <c r="I122" s="579"/>
      <c r="J122" s="579"/>
      <c r="K122" s="579"/>
      <c r="L122" s="579"/>
      <c r="M122" s="579"/>
      <c r="N122" s="579"/>
      <c r="O122" s="579"/>
      <c r="P122" s="580"/>
    </row>
    <row r="123" spans="1:16" ht="15.75" thickBot="1">
      <c r="A123" s="204"/>
      <c r="B123" s="599" t="s">
        <v>14</v>
      </c>
      <c r="C123" s="600"/>
      <c r="D123" s="601"/>
      <c r="E123" s="605" t="s">
        <v>24</v>
      </c>
      <c r="F123" s="607" t="s">
        <v>25</v>
      </c>
      <c r="G123" s="609" t="s">
        <v>31</v>
      </c>
      <c r="H123" s="610"/>
      <c r="I123" s="610"/>
      <c r="J123" s="610"/>
      <c r="K123" s="611"/>
      <c r="L123" s="597" t="s">
        <v>16</v>
      </c>
      <c r="M123" s="597" t="s">
        <v>17</v>
      </c>
      <c r="N123" s="597" t="s">
        <v>18</v>
      </c>
      <c r="O123" s="597" t="s">
        <v>19</v>
      </c>
      <c r="P123" s="597" t="s">
        <v>20</v>
      </c>
    </row>
    <row r="124" spans="1:16" ht="77.25" thickBot="1">
      <c r="A124" s="297"/>
      <c r="B124" s="602"/>
      <c r="C124" s="603"/>
      <c r="D124" s="604"/>
      <c r="E124" s="606"/>
      <c r="F124" s="608"/>
      <c r="G124" s="205" t="s">
        <v>32</v>
      </c>
      <c r="H124" s="205" t="s">
        <v>33</v>
      </c>
      <c r="I124" s="205" t="s">
        <v>34</v>
      </c>
      <c r="J124" s="206" t="s">
        <v>220</v>
      </c>
      <c r="K124" s="207" t="s">
        <v>27</v>
      </c>
      <c r="L124" s="598"/>
      <c r="M124" s="598"/>
      <c r="N124" s="598"/>
      <c r="O124" s="598"/>
      <c r="P124" s="598"/>
    </row>
    <row r="125" spans="1:16" ht="15.75" thickBot="1">
      <c r="A125" s="38"/>
      <c r="B125" s="536">
        <v>1</v>
      </c>
      <c r="C125" s="537"/>
      <c r="D125" s="538"/>
      <c r="E125" s="180" t="s">
        <v>22</v>
      </c>
      <c r="F125" s="301">
        <v>3</v>
      </c>
      <c r="G125" s="301">
        <v>4</v>
      </c>
      <c r="H125" s="301">
        <v>5</v>
      </c>
      <c r="I125" s="175">
        <v>6</v>
      </c>
      <c r="J125" s="175">
        <v>7</v>
      </c>
      <c r="K125" s="192">
        <v>8</v>
      </c>
      <c r="L125" s="305">
        <v>9</v>
      </c>
      <c r="M125" s="175">
        <v>10</v>
      </c>
      <c r="N125" s="305">
        <v>11</v>
      </c>
      <c r="O125" s="175">
        <v>12</v>
      </c>
      <c r="P125" s="305">
        <v>13</v>
      </c>
    </row>
    <row r="126" spans="1:16" ht="27.75" thickBot="1">
      <c r="A126" s="115" t="s">
        <v>125</v>
      </c>
      <c r="B126" s="514" t="s">
        <v>126</v>
      </c>
      <c r="C126" s="515"/>
      <c r="D126" s="516"/>
      <c r="E126" s="108"/>
      <c r="F126" s="108"/>
      <c r="G126" s="13"/>
      <c r="H126" s="13"/>
      <c r="I126" s="13"/>
      <c r="J126" s="13"/>
      <c r="K126" s="84">
        <f aca="true" t="shared" si="15" ref="K126:K140">G126</f>
        <v>0</v>
      </c>
      <c r="L126" s="15">
        <f>0+K126</f>
        <v>0</v>
      </c>
      <c r="M126" s="119">
        <f aca="true" t="shared" si="16" ref="M126:N141">E126-K126</f>
        <v>0</v>
      </c>
      <c r="N126" s="124">
        <f t="shared" si="16"/>
        <v>0</v>
      </c>
      <c r="O126" s="31">
        <v>0</v>
      </c>
      <c r="P126" s="123">
        <v>0</v>
      </c>
    </row>
    <row r="127" spans="1:16" ht="27.75" thickBot="1">
      <c r="A127" s="116" t="s">
        <v>127</v>
      </c>
      <c r="B127" s="427" t="s">
        <v>128</v>
      </c>
      <c r="C127" s="428"/>
      <c r="D127" s="429"/>
      <c r="E127" s="108"/>
      <c r="F127" s="108"/>
      <c r="G127" s="13"/>
      <c r="H127" s="13"/>
      <c r="I127" s="13"/>
      <c r="J127" s="13"/>
      <c r="K127" s="84">
        <f t="shared" si="15"/>
        <v>0</v>
      </c>
      <c r="L127" s="15">
        <f>0+K127</f>
        <v>0</v>
      </c>
      <c r="M127" s="119">
        <f t="shared" si="16"/>
        <v>0</v>
      </c>
      <c r="N127" s="124">
        <f t="shared" si="16"/>
        <v>0</v>
      </c>
      <c r="O127" s="31">
        <v>0</v>
      </c>
      <c r="P127" s="123">
        <v>0</v>
      </c>
    </row>
    <row r="128" spans="1:16" ht="30.75" thickBot="1">
      <c r="A128" s="39" t="s">
        <v>129</v>
      </c>
      <c r="B128" s="359" t="s">
        <v>130</v>
      </c>
      <c r="C128" s="360"/>
      <c r="D128" s="361"/>
      <c r="E128" s="108"/>
      <c r="F128" s="108">
        <f>300000+E128</f>
        <v>300000</v>
      </c>
      <c r="G128" s="13"/>
      <c r="H128" s="13"/>
      <c r="I128" s="13"/>
      <c r="J128" s="13"/>
      <c r="K128" s="84">
        <f>I128+G128</f>
        <v>0</v>
      </c>
      <c r="L128" s="15">
        <f>293195.39+K128</f>
        <v>293195.39</v>
      </c>
      <c r="M128" s="119">
        <f t="shared" si="16"/>
        <v>0</v>
      </c>
      <c r="N128" s="124">
        <f t="shared" si="16"/>
        <v>6804.609999999986</v>
      </c>
      <c r="O128" s="31">
        <v>0</v>
      </c>
      <c r="P128" s="123">
        <v>0</v>
      </c>
    </row>
    <row r="129" spans="1:16" ht="30.75" customHeight="1" thickBot="1">
      <c r="A129" s="39" t="s">
        <v>131</v>
      </c>
      <c r="B129" s="387" t="s">
        <v>222</v>
      </c>
      <c r="C129" s="388"/>
      <c r="D129" s="389"/>
      <c r="E129" s="108">
        <v>12750</v>
      </c>
      <c r="F129" s="108">
        <f>102003+E129</f>
        <v>114753</v>
      </c>
      <c r="G129" s="13"/>
      <c r="H129" s="13"/>
      <c r="I129" s="13"/>
      <c r="J129" s="13"/>
      <c r="K129" s="84">
        <f>H129</f>
        <v>0</v>
      </c>
      <c r="L129" s="15">
        <f>153006+K129</f>
        <v>153006</v>
      </c>
      <c r="M129" s="119">
        <f t="shared" si="16"/>
        <v>12750</v>
      </c>
      <c r="N129" s="124">
        <f t="shared" si="16"/>
        <v>-38253</v>
      </c>
      <c r="O129" s="31">
        <v>0</v>
      </c>
      <c r="P129" s="123">
        <v>0</v>
      </c>
    </row>
    <row r="130" spans="1:16" ht="30.75" thickBot="1">
      <c r="A130" s="73" t="s">
        <v>133</v>
      </c>
      <c r="B130" s="359" t="s">
        <v>134</v>
      </c>
      <c r="C130" s="360"/>
      <c r="D130" s="361"/>
      <c r="E130" s="108"/>
      <c r="F130" s="108"/>
      <c r="G130" s="13">
        <v>15000</v>
      </c>
      <c r="H130" s="13"/>
      <c r="I130" s="13"/>
      <c r="J130" s="13"/>
      <c r="K130" s="84">
        <f t="shared" si="15"/>
        <v>15000</v>
      </c>
      <c r="L130" s="15">
        <f>1500+K130</f>
        <v>16500</v>
      </c>
      <c r="M130" s="119">
        <f t="shared" si="16"/>
        <v>-15000</v>
      </c>
      <c r="N130" s="124">
        <f t="shared" si="16"/>
        <v>-16500</v>
      </c>
      <c r="O130" s="31">
        <v>0</v>
      </c>
      <c r="P130" s="123">
        <v>0</v>
      </c>
    </row>
    <row r="131" spans="1:16" ht="30.75" thickBot="1">
      <c r="A131" s="73" t="s">
        <v>135</v>
      </c>
      <c r="B131" s="511" t="s">
        <v>136</v>
      </c>
      <c r="C131" s="512"/>
      <c r="D131" s="513"/>
      <c r="E131" s="108"/>
      <c r="F131" s="108">
        <f>6000+E131</f>
        <v>6000</v>
      </c>
      <c r="G131" s="13"/>
      <c r="H131" s="13"/>
      <c r="I131" s="13"/>
      <c r="J131" s="13"/>
      <c r="K131" s="84">
        <f t="shared" si="15"/>
        <v>0</v>
      </c>
      <c r="L131" s="15">
        <f>9934.67+K131</f>
        <v>9934.67</v>
      </c>
      <c r="M131" s="119">
        <f t="shared" si="16"/>
        <v>0</v>
      </c>
      <c r="N131" s="124">
        <f t="shared" si="16"/>
        <v>-3934.67</v>
      </c>
      <c r="O131" s="31">
        <v>0</v>
      </c>
      <c r="P131" s="123">
        <v>0</v>
      </c>
    </row>
    <row r="132" spans="1:19" ht="33.75" customHeight="1" thickBot="1">
      <c r="A132" s="40">
        <v>15</v>
      </c>
      <c r="B132" s="338" t="s">
        <v>137</v>
      </c>
      <c r="C132" s="338"/>
      <c r="D132" s="339"/>
      <c r="E132" s="108">
        <v>0</v>
      </c>
      <c r="F132" s="114">
        <f>F133</f>
        <v>0</v>
      </c>
      <c r="G132" s="32">
        <f>G133+G134</f>
        <v>0</v>
      </c>
      <c r="H132" s="13"/>
      <c r="I132" s="13"/>
      <c r="J132" s="13"/>
      <c r="K132" s="83">
        <f t="shared" si="15"/>
        <v>0</v>
      </c>
      <c r="L132" s="23">
        <f>L133+L134</f>
        <v>244030.07</v>
      </c>
      <c r="M132" s="120">
        <f t="shared" si="16"/>
        <v>0</v>
      </c>
      <c r="N132" s="125">
        <f t="shared" si="16"/>
        <v>-244030.07</v>
      </c>
      <c r="O132" s="26">
        <v>0</v>
      </c>
      <c r="P132" s="27">
        <v>0</v>
      </c>
      <c r="Q132" s="173"/>
      <c r="R132" s="173"/>
      <c r="S132" s="173"/>
    </row>
    <row r="133" spans="1:19" ht="21" customHeight="1" thickBot="1">
      <c r="A133" s="29" t="s">
        <v>187</v>
      </c>
      <c r="B133" s="390" t="s">
        <v>152</v>
      </c>
      <c r="C133" s="391"/>
      <c r="D133" s="392"/>
      <c r="E133" s="112"/>
      <c r="F133" s="108"/>
      <c r="G133" s="13"/>
      <c r="H133" s="13"/>
      <c r="I133" s="13"/>
      <c r="J133" s="13"/>
      <c r="K133" s="84">
        <f t="shared" si="15"/>
        <v>0</v>
      </c>
      <c r="L133" s="15">
        <f>244030.07+K133</f>
        <v>244030.07</v>
      </c>
      <c r="M133" s="119">
        <f t="shared" si="16"/>
        <v>0</v>
      </c>
      <c r="N133" s="124">
        <f t="shared" si="16"/>
        <v>-244030.07</v>
      </c>
      <c r="O133" s="31">
        <v>0</v>
      </c>
      <c r="P133" s="123">
        <v>0</v>
      </c>
      <c r="Q133" s="173"/>
      <c r="R133" s="173"/>
      <c r="S133" s="173"/>
    </row>
    <row r="134" spans="1:19" ht="29.25" customHeight="1" thickBot="1">
      <c r="A134" s="29" t="s">
        <v>188</v>
      </c>
      <c r="B134" s="340" t="s">
        <v>171</v>
      </c>
      <c r="C134" s="341"/>
      <c r="D134" s="342"/>
      <c r="E134" s="112"/>
      <c r="F134" s="108"/>
      <c r="G134" s="13"/>
      <c r="H134" s="13"/>
      <c r="I134" s="13"/>
      <c r="J134" s="13"/>
      <c r="K134" s="84">
        <f t="shared" si="15"/>
        <v>0</v>
      </c>
      <c r="L134" s="15">
        <f>0+K134</f>
        <v>0</v>
      </c>
      <c r="M134" s="119">
        <f t="shared" si="16"/>
        <v>0</v>
      </c>
      <c r="N134" s="124">
        <f t="shared" si="16"/>
        <v>0</v>
      </c>
      <c r="O134" s="31">
        <v>0</v>
      </c>
      <c r="P134" s="123">
        <v>0</v>
      </c>
      <c r="Q134" s="173"/>
      <c r="R134" s="173"/>
      <c r="S134" s="173"/>
    </row>
    <row r="135" spans="1:19" ht="28.5" customHeight="1" thickBot="1">
      <c r="A135" s="41">
        <v>16</v>
      </c>
      <c r="B135" s="338" t="s">
        <v>138</v>
      </c>
      <c r="C135" s="338"/>
      <c r="D135" s="339"/>
      <c r="E135" s="108">
        <v>0</v>
      </c>
      <c r="F135" s="114">
        <f>F136</f>
        <v>0</v>
      </c>
      <c r="G135" s="32">
        <f>G136+G137</f>
        <v>482187.82</v>
      </c>
      <c r="H135" s="13"/>
      <c r="I135" s="13"/>
      <c r="J135" s="13"/>
      <c r="K135" s="83">
        <f t="shared" si="15"/>
        <v>482187.82</v>
      </c>
      <c r="L135" s="23">
        <f>L136+L137</f>
        <v>1439790.82</v>
      </c>
      <c r="M135" s="120">
        <f t="shared" si="16"/>
        <v>-482187.82</v>
      </c>
      <c r="N135" s="125">
        <f t="shared" si="16"/>
        <v>-1439790.82</v>
      </c>
      <c r="O135" s="26">
        <v>0</v>
      </c>
      <c r="P135" s="27">
        <v>0</v>
      </c>
      <c r="Q135" s="173"/>
      <c r="R135" s="173"/>
      <c r="S135" s="173"/>
    </row>
    <row r="136" spans="1:19" ht="20.25" customHeight="1" thickBot="1">
      <c r="A136" s="29" t="s">
        <v>189</v>
      </c>
      <c r="B136" s="390" t="s">
        <v>152</v>
      </c>
      <c r="C136" s="391"/>
      <c r="D136" s="392"/>
      <c r="E136" s="112"/>
      <c r="F136" s="108"/>
      <c r="G136" s="13">
        <v>482187.82</v>
      </c>
      <c r="H136" s="13"/>
      <c r="I136" s="13"/>
      <c r="J136" s="13"/>
      <c r="K136" s="84">
        <f t="shared" si="15"/>
        <v>482187.82</v>
      </c>
      <c r="L136" s="15">
        <f>957603+K136</f>
        <v>1439790.82</v>
      </c>
      <c r="M136" s="119">
        <f t="shared" si="16"/>
        <v>-482187.82</v>
      </c>
      <c r="N136" s="124">
        <f t="shared" si="16"/>
        <v>-1439790.82</v>
      </c>
      <c r="O136" s="31">
        <v>0</v>
      </c>
      <c r="P136" s="123">
        <v>0</v>
      </c>
      <c r="Q136" s="173"/>
      <c r="R136" s="173"/>
      <c r="S136" s="173"/>
    </row>
    <row r="137" spans="1:19" ht="26.25" customHeight="1" thickBot="1">
      <c r="A137" s="29" t="s">
        <v>190</v>
      </c>
      <c r="B137" s="340" t="s">
        <v>171</v>
      </c>
      <c r="C137" s="341"/>
      <c r="D137" s="342"/>
      <c r="E137" s="112"/>
      <c r="F137" s="108"/>
      <c r="G137" s="13"/>
      <c r="H137" s="13"/>
      <c r="I137" s="13"/>
      <c r="J137" s="13"/>
      <c r="K137" s="84">
        <f t="shared" si="15"/>
        <v>0</v>
      </c>
      <c r="L137" s="15">
        <f>0+K137</f>
        <v>0</v>
      </c>
      <c r="M137" s="119">
        <f t="shared" si="16"/>
        <v>0</v>
      </c>
      <c r="N137" s="124">
        <f t="shared" si="16"/>
        <v>0</v>
      </c>
      <c r="O137" s="31">
        <v>0</v>
      </c>
      <c r="P137" s="123">
        <v>0</v>
      </c>
      <c r="Q137" s="173"/>
      <c r="R137" s="173"/>
      <c r="S137" s="173"/>
    </row>
    <row r="138" spans="1:19" ht="44.25" customHeight="1" thickBot="1">
      <c r="A138" s="40">
        <v>17</v>
      </c>
      <c r="B138" s="338" t="s">
        <v>139</v>
      </c>
      <c r="C138" s="338"/>
      <c r="D138" s="339"/>
      <c r="E138" s="114">
        <v>0</v>
      </c>
      <c r="F138" s="114"/>
      <c r="G138" s="32"/>
      <c r="H138" s="32"/>
      <c r="I138" s="32"/>
      <c r="J138" s="32"/>
      <c r="K138" s="83">
        <f t="shared" si="15"/>
        <v>0</v>
      </c>
      <c r="L138" s="23">
        <f>L139</f>
        <v>86350</v>
      </c>
      <c r="M138" s="120">
        <f t="shared" si="16"/>
        <v>0</v>
      </c>
      <c r="N138" s="125">
        <f t="shared" si="16"/>
        <v>-86350</v>
      </c>
      <c r="O138" s="26">
        <v>0</v>
      </c>
      <c r="P138" s="27">
        <v>0</v>
      </c>
      <c r="Q138" s="173"/>
      <c r="R138" s="173"/>
      <c r="S138" s="173"/>
    </row>
    <row r="139" spans="1:19" ht="27" customHeight="1" thickBot="1">
      <c r="A139" s="29" t="s">
        <v>191</v>
      </c>
      <c r="B139" s="340" t="s">
        <v>152</v>
      </c>
      <c r="C139" s="341"/>
      <c r="D139" s="342"/>
      <c r="E139" s="112"/>
      <c r="F139" s="108"/>
      <c r="G139" s="13"/>
      <c r="H139" s="13"/>
      <c r="I139" s="13"/>
      <c r="J139" s="13"/>
      <c r="K139" s="84">
        <f t="shared" si="15"/>
        <v>0</v>
      </c>
      <c r="L139" s="15">
        <f>86350+K139</f>
        <v>86350</v>
      </c>
      <c r="M139" s="119">
        <f t="shared" si="16"/>
        <v>0</v>
      </c>
      <c r="N139" s="124">
        <f t="shared" si="16"/>
        <v>-86350</v>
      </c>
      <c r="O139" s="31">
        <v>0</v>
      </c>
      <c r="P139" s="123">
        <v>0</v>
      </c>
      <c r="Q139" s="173"/>
      <c r="R139" s="173"/>
      <c r="S139" s="173"/>
    </row>
    <row r="140" spans="1:19" ht="29.25" customHeight="1" thickBot="1">
      <c r="A140" s="29" t="s">
        <v>192</v>
      </c>
      <c r="B140" s="340" t="s">
        <v>171</v>
      </c>
      <c r="C140" s="341"/>
      <c r="D140" s="342"/>
      <c r="E140" s="112"/>
      <c r="F140" s="108"/>
      <c r="G140" s="13"/>
      <c r="H140" s="13"/>
      <c r="I140" s="13"/>
      <c r="J140" s="13"/>
      <c r="K140" s="84">
        <f t="shared" si="15"/>
        <v>0</v>
      </c>
      <c r="L140" s="15">
        <f>0+K140</f>
        <v>0</v>
      </c>
      <c r="M140" s="119">
        <f t="shared" si="16"/>
        <v>0</v>
      </c>
      <c r="N140" s="124">
        <f t="shared" si="16"/>
        <v>0</v>
      </c>
      <c r="O140" s="31">
        <v>0</v>
      </c>
      <c r="P140" s="123">
        <v>0</v>
      </c>
      <c r="Q140" s="173"/>
      <c r="R140" s="173"/>
      <c r="S140" s="173"/>
    </row>
    <row r="141" spans="1:19" ht="22.5" customHeight="1" thickBot="1">
      <c r="A141" s="40">
        <v>18</v>
      </c>
      <c r="B141" s="323" t="s">
        <v>140</v>
      </c>
      <c r="C141" s="323"/>
      <c r="D141" s="324"/>
      <c r="E141" s="108">
        <v>0</v>
      </c>
      <c r="F141" s="108"/>
      <c r="G141" s="13"/>
      <c r="H141" s="13"/>
      <c r="I141" s="32">
        <v>26000</v>
      </c>
      <c r="J141" s="32">
        <v>193274.72</v>
      </c>
      <c r="K141" s="83">
        <f>J141+I141</f>
        <v>219274.72</v>
      </c>
      <c r="L141" s="23">
        <f>967479.82+K141</f>
        <v>1186754.54</v>
      </c>
      <c r="M141" s="120">
        <f t="shared" si="16"/>
        <v>-219274.72</v>
      </c>
      <c r="N141" s="125">
        <f t="shared" si="16"/>
        <v>-1186754.54</v>
      </c>
      <c r="O141" s="26">
        <v>0</v>
      </c>
      <c r="P141" s="27">
        <v>0</v>
      </c>
      <c r="Q141" s="173"/>
      <c r="R141" s="173"/>
      <c r="S141" s="173"/>
    </row>
    <row r="142" spans="1:19" ht="63.75" customHeight="1" thickBot="1">
      <c r="A142" s="43"/>
      <c r="B142" s="328" t="s">
        <v>141</v>
      </c>
      <c r="C142" s="328"/>
      <c r="D142" s="328"/>
      <c r="E142" s="328"/>
      <c r="F142" s="208"/>
      <c r="G142" s="208" t="s">
        <v>4</v>
      </c>
      <c r="H142" s="303" t="s">
        <v>5</v>
      </c>
      <c r="I142" s="532" t="s">
        <v>6</v>
      </c>
      <c r="J142" s="533"/>
      <c r="K142" s="176" t="s">
        <v>11</v>
      </c>
      <c r="L142" s="175" t="s">
        <v>8</v>
      </c>
      <c r="M142" s="175" t="s">
        <v>9</v>
      </c>
      <c r="N142" s="210" t="s">
        <v>10</v>
      </c>
      <c r="O142" s="211"/>
      <c r="P142" s="304"/>
      <c r="Q142" s="173"/>
      <c r="R142" s="173"/>
      <c r="S142" s="173"/>
    </row>
    <row r="143" spans="1:19" ht="23.25" customHeight="1" thickBot="1">
      <c r="A143" s="42"/>
      <c r="B143" s="328" t="s">
        <v>12</v>
      </c>
      <c r="C143" s="328"/>
      <c r="D143" s="328"/>
      <c r="E143" s="329"/>
      <c r="F143" s="47"/>
      <c r="G143" s="47">
        <v>0</v>
      </c>
      <c r="H143" s="3">
        <v>0</v>
      </c>
      <c r="I143" s="330">
        <v>0</v>
      </c>
      <c r="J143" s="331"/>
      <c r="K143" s="86"/>
      <c r="L143" s="3">
        <v>0</v>
      </c>
      <c r="M143" s="293">
        <v>0</v>
      </c>
      <c r="N143" s="293">
        <v>0</v>
      </c>
      <c r="O143" s="3"/>
      <c r="P143" s="3">
        <v>0</v>
      </c>
      <c r="Q143" s="173"/>
      <c r="R143" s="173"/>
      <c r="S143" s="173"/>
    </row>
    <row r="144" spans="1:19" ht="27" customHeight="1" thickBot="1">
      <c r="A144" s="43"/>
      <c r="B144" s="328" t="s">
        <v>13</v>
      </c>
      <c r="C144" s="328"/>
      <c r="D144" s="328"/>
      <c r="E144" s="329"/>
      <c r="F144" s="3"/>
      <c r="G144" s="3">
        <f>F10+G17-G32-G36-G40-G45-G55-G65-G68-G72-G75-G79-G89-G102-G133-G136-G139</f>
        <v>-54157.979999999865</v>
      </c>
      <c r="H144" s="3">
        <f>G18+H10-H29</f>
        <v>12970.680000000022</v>
      </c>
      <c r="I144" s="330">
        <f>I10+G19-I104-I66-I97-I76-I141</f>
        <v>8149</v>
      </c>
      <c r="J144" s="331"/>
      <c r="K144" s="86">
        <f>O10+G22-J54</f>
        <v>8127.709999999999</v>
      </c>
      <c r="L144" s="3">
        <f>L10+G23-J141</f>
        <v>228949.55000000002</v>
      </c>
      <c r="M144" s="293">
        <v>0</v>
      </c>
      <c r="N144" s="3">
        <v>0</v>
      </c>
      <c r="O144" s="48"/>
      <c r="P144" s="3">
        <f>SUM(G144:O144)</f>
        <v>204038.96000000017</v>
      </c>
      <c r="Q144" s="173"/>
      <c r="R144" s="196">
        <f>P5+L16-L29</f>
        <v>204038.95500000007</v>
      </c>
      <c r="S144" s="18"/>
    </row>
    <row r="145" spans="1:19" ht="24.75" customHeight="1" thickBot="1">
      <c r="A145" s="49"/>
      <c r="B145" s="524" t="s">
        <v>250</v>
      </c>
      <c r="C145" s="524"/>
      <c r="D145" s="524"/>
      <c r="E145" s="525"/>
      <c r="F145" s="346"/>
      <c r="G145" s="346"/>
      <c r="H145" s="346"/>
      <c r="I145" s="346"/>
      <c r="J145" s="346"/>
      <c r="K145" s="346"/>
      <c r="L145" s="346"/>
      <c r="M145" s="346"/>
      <c r="N145" s="347"/>
      <c r="O145" s="348"/>
      <c r="P145" s="50">
        <f>P144</f>
        <v>204038.96000000017</v>
      </c>
      <c r="Q145" s="173"/>
      <c r="R145" s="18"/>
      <c r="S145" s="18"/>
    </row>
    <row r="146" spans="1:19" ht="15">
      <c r="A146" s="173"/>
      <c r="B146" s="213"/>
      <c r="C146" s="213"/>
      <c r="D146" s="213"/>
      <c r="E146" s="213"/>
      <c r="F146" s="52"/>
      <c r="G146" s="52"/>
      <c r="H146" s="52"/>
      <c r="I146" s="52"/>
      <c r="J146" s="52"/>
      <c r="K146" s="87"/>
      <c r="L146" s="52"/>
      <c r="M146" s="52"/>
      <c r="N146" s="52"/>
      <c r="O146" s="53"/>
      <c r="P146" s="54"/>
      <c r="Q146" s="173"/>
      <c r="R146" s="18"/>
      <c r="S146" s="173"/>
    </row>
    <row r="147" spans="1:19" ht="15">
      <c r="A147" s="173"/>
      <c r="B147" s="343" t="s">
        <v>142</v>
      </c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9" t="s">
        <v>143</v>
      </c>
      <c r="P147" s="349"/>
      <c r="Q147" s="173"/>
      <c r="R147" s="196"/>
      <c r="S147" s="18"/>
    </row>
    <row r="148" spans="1:19" ht="15">
      <c r="A148" s="173"/>
      <c r="B148" s="343" t="s">
        <v>144</v>
      </c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 t="s">
        <v>145</v>
      </c>
      <c r="P148" s="343"/>
      <c r="Q148" s="173"/>
      <c r="R148" s="173"/>
      <c r="S148" s="173"/>
    </row>
    <row r="149" spans="1:19" ht="15">
      <c r="A149" s="173"/>
      <c r="B149" s="295"/>
      <c r="C149" s="295"/>
      <c r="D149" s="295"/>
      <c r="E149" s="295"/>
      <c r="F149" s="295"/>
      <c r="G149" s="295"/>
      <c r="H149" s="295"/>
      <c r="I149" s="295"/>
      <c r="J149" s="55"/>
      <c r="K149" s="88"/>
      <c r="L149" s="55"/>
      <c r="M149" s="295"/>
      <c r="N149" s="295"/>
      <c r="O149" s="295"/>
      <c r="P149" s="55"/>
      <c r="Q149" s="173"/>
      <c r="R149" s="18"/>
      <c r="S149" s="173"/>
    </row>
    <row r="151" spans="1:19" ht="15">
      <c r="A151" s="173"/>
      <c r="B151" s="173"/>
      <c r="C151" s="173"/>
      <c r="D151" s="173"/>
      <c r="E151" s="173"/>
      <c r="F151" s="173"/>
      <c r="G151" s="173"/>
      <c r="H151" s="173"/>
      <c r="I151" s="250"/>
      <c r="J151" s="173"/>
      <c r="K151" s="173"/>
      <c r="L151" s="173"/>
      <c r="M151" s="173"/>
      <c r="N151" s="173"/>
      <c r="O151" s="173"/>
      <c r="P151" s="173"/>
      <c r="Q151" s="173"/>
      <c r="R151" s="18"/>
      <c r="S151" s="173"/>
    </row>
    <row r="152" spans="1:19" ht="15">
      <c r="A152" s="173"/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8"/>
      <c r="S152" s="173"/>
    </row>
    <row r="153" spans="1:19" ht="15">
      <c r="A153" s="173"/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8"/>
      <c r="O153" s="173"/>
      <c r="P153" s="173"/>
      <c r="Q153" s="173"/>
      <c r="R153" s="173"/>
      <c r="S153" s="173"/>
    </row>
    <row r="154" spans="12:16" ht="15">
      <c r="L154" s="173"/>
      <c r="M154" s="173"/>
      <c r="N154" s="18"/>
      <c r="O154" s="173"/>
      <c r="P154" s="18"/>
    </row>
    <row r="155" spans="12:16" ht="15">
      <c r="L155" s="173"/>
      <c r="M155" s="173"/>
      <c r="N155" s="214"/>
      <c r="O155" s="173"/>
      <c r="P155" s="18"/>
    </row>
    <row r="156" spans="12:16" ht="15">
      <c r="L156" s="18"/>
      <c r="M156" s="173"/>
      <c r="N156" s="173"/>
      <c r="O156" s="173"/>
      <c r="P156" s="173"/>
    </row>
    <row r="157" spans="12:16" ht="15">
      <c r="L157" s="18"/>
      <c r="M157" s="18"/>
      <c r="N157" s="173"/>
      <c r="O157" s="173"/>
      <c r="P157" s="173"/>
    </row>
  </sheetData>
  <sheetProtection/>
  <mergeCells count="200">
    <mergeCell ref="B1:P1"/>
    <mergeCell ref="B2:P2"/>
    <mergeCell ref="B3:P3"/>
    <mergeCell ref="B4:P4"/>
    <mergeCell ref="B5:E5"/>
    <mergeCell ref="F5:O5"/>
    <mergeCell ref="B9:E9"/>
    <mergeCell ref="F9:G9"/>
    <mergeCell ref="I9:J9"/>
    <mergeCell ref="B10:E10"/>
    <mergeCell ref="F10:G10"/>
    <mergeCell ref="I10:J10"/>
    <mergeCell ref="B6:E6"/>
    <mergeCell ref="F6:O6"/>
    <mergeCell ref="B7:E7"/>
    <mergeCell ref="F7:P7"/>
    <mergeCell ref="B8:E8"/>
    <mergeCell ref="F8:G8"/>
    <mergeCell ref="I8:J8"/>
    <mergeCell ref="P12:P13"/>
    <mergeCell ref="B14:D14"/>
    <mergeCell ref="G14:J14"/>
    <mergeCell ref="A15:A16"/>
    <mergeCell ref="B15:D16"/>
    <mergeCell ref="G15:J15"/>
    <mergeCell ref="G16:J16"/>
    <mergeCell ref="B11:E11"/>
    <mergeCell ref="F11:P11"/>
    <mergeCell ref="A12:A13"/>
    <mergeCell ref="B12:E13"/>
    <mergeCell ref="F12:F13"/>
    <mergeCell ref="G12:K13"/>
    <mergeCell ref="L12:L13"/>
    <mergeCell ref="M12:M13"/>
    <mergeCell ref="N12:N13"/>
    <mergeCell ref="O12:O13"/>
    <mergeCell ref="B20:D20"/>
    <mergeCell ref="G20:J20"/>
    <mergeCell ref="B21:D21"/>
    <mergeCell ref="G21:J21"/>
    <mergeCell ref="B22:D22"/>
    <mergeCell ref="G22:J22"/>
    <mergeCell ref="B17:D17"/>
    <mergeCell ref="G17:J17"/>
    <mergeCell ref="B18:D18"/>
    <mergeCell ref="G18:J18"/>
    <mergeCell ref="B19:D19"/>
    <mergeCell ref="G19:J19"/>
    <mergeCell ref="M26:M27"/>
    <mergeCell ref="N26:N27"/>
    <mergeCell ref="O26:O27"/>
    <mergeCell ref="P26:P27"/>
    <mergeCell ref="B28:D28"/>
    <mergeCell ref="B29:D29"/>
    <mergeCell ref="B23:D23"/>
    <mergeCell ref="G23:J23"/>
    <mergeCell ref="A24:A25"/>
    <mergeCell ref="B24:P25"/>
    <mergeCell ref="A26:A27"/>
    <mergeCell ref="B26:D27"/>
    <mergeCell ref="E26:E27"/>
    <mergeCell ref="F26:F27"/>
    <mergeCell ref="G26:K26"/>
    <mergeCell ref="L26:L27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49:D49"/>
    <mergeCell ref="B50:D50"/>
    <mergeCell ref="B51:D51"/>
    <mergeCell ref="B52:D52"/>
    <mergeCell ref="B54:D54"/>
    <mergeCell ref="B55:D55"/>
    <mergeCell ref="B42:D42"/>
    <mergeCell ref="B43:D43"/>
    <mergeCell ref="B44:D44"/>
    <mergeCell ref="B45:D45"/>
    <mergeCell ref="B46:D46"/>
    <mergeCell ref="B48:D48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74:D74"/>
    <mergeCell ref="B75:D75"/>
    <mergeCell ref="B76:D76"/>
    <mergeCell ref="B78:D78"/>
    <mergeCell ref="B79:D79"/>
    <mergeCell ref="B80:D80"/>
    <mergeCell ref="B68:D68"/>
    <mergeCell ref="B69:D69"/>
    <mergeCell ref="B70:D70"/>
    <mergeCell ref="B71:D71"/>
    <mergeCell ref="B72:D72"/>
    <mergeCell ref="B73:D73"/>
    <mergeCell ref="B81:D81"/>
    <mergeCell ref="A83:A84"/>
    <mergeCell ref="B83:P84"/>
    <mergeCell ref="A85:A86"/>
    <mergeCell ref="B85:D86"/>
    <mergeCell ref="E85:E86"/>
    <mergeCell ref="F85:F86"/>
    <mergeCell ref="G85:K85"/>
    <mergeCell ref="L85:L86"/>
    <mergeCell ref="M85:M86"/>
    <mergeCell ref="B90:D90"/>
    <mergeCell ref="B91:D91"/>
    <mergeCell ref="B92:D92"/>
    <mergeCell ref="B93:D93"/>
    <mergeCell ref="B94:D94"/>
    <mergeCell ref="B95:D95"/>
    <mergeCell ref="N85:N86"/>
    <mergeCell ref="O85:O86"/>
    <mergeCell ref="P85:P86"/>
    <mergeCell ref="B87:D87"/>
    <mergeCell ref="B88:D88"/>
    <mergeCell ref="B89:D89"/>
    <mergeCell ref="B102:D102"/>
    <mergeCell ref="B103:D103"/>
    <mergeCell ref="B104:D104"/>
    <mergeCell ref="B105:D105"/>
    <mergeCell ref="B106:D106"/>
    <mergeCell ref="B107:D107"/>
    <mergeCell ref="B96:D96"/>
    <mergeCell ref="B97:D97"/>
    <mergeCell ref="B98:D98"/>
    <mergeCell ref="B99:D99"/>
    <mergeCell ref="B100:D100"/>
    <mergeCell ref="B101:D101"/>
    <mergeCell ref="B114:D114"/>
    <mergeCell ref="B115:D115"/>
    <mergeCell ref="B116:D116"/>
    <mergeCell ref="B117:D117"/>
    <mergeCell ref="B118:D118"/>
    <mergeCell ref="B119:D119"/>
    <mergeCell ref="B108:D108"/>
    <mergeCell ref="B109:D109"/>
    <mergeCell ref="B110:D110"/>
    <mergeCell ref="B111:D111"/>
    <mergeCell ref="B112:D112"/>
    <mergeCell ref="B113:D113"/>
    <mergeCell ref="P123:P124"/>
    <mergeCell ref="B125:D125"/>
    <mergeCell ref="B126:D126"/>
    <mergeCell ref="B127:D127"/>
    <mergeCell ref="B128:D128"/>
    <mergeCell ref="B129:D129"/>
    <mergeCell ref="B120:D120"/>
    <mergeCell ref="B121:P122"/>
    <mergeCell ref="B123:D124"/>
    <mergeCell ref="E123:E124"/>
    <mergeCell ref="F123:F124"/>
    <mergeCell ref="G123:K123"/>
    <mergeCell ref="L123:L124"/>
    <mergeCell ref="M123:M124"/>
    <mergeCell ref="N123:N124"/>
    <mergeCell ref="O123:O124"/>
    <mergeCell ref="B136:D136"/>
    <mergeCell ref="B137:D137"/>
    <mergeCell ref="B138:D138"/>
    <mergeCell ref="B139:D139"/>
    <mergeCell ref="B140:D140"/>
    <mergeCell ref="B141:D141"/>
    <mergeCell ref="B130:D130"/>
    <mergeCell ref="B131:D131"/>
    <mergeCell ref="B132:D132"/>
    <mergeCell ref="B133:D133"/>
    <mergeCell ref="B134:D134"/>
    <mergeCell ref="B135:D135"/>
    <mergeCell ref="B145:E145"/>
    <mergeCell ref="F145:O145"/>
    <mergeCell ref="B147:E147"/>
    <mergeCell ref="F147:N147"/>
    <mergeCell ref="O147:P147"/>
    <mergeCell ref="B148:E148"/>
    <mergeCell ref="F148:N148"/>
    <mergeCell ref="O148:P148"/>
    <mergeCell ref="B142:E142"/>
    <mergeCell ref="I142:J142"/>
    <mergeCell ref="B143:E143"/>
    <mergeCell ref="I143:J143"/>
    <mergeCell ref="B144:E144"/>
    <mergeCell ref="I144:J144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57"/>
  <sheetViews>
    <sheetView zoomScale="90" zoomScaleNormal="90" zoomScalePageLayoutView="0" workbookViewId="0" topLeftCell="A85">
      <selection activeCell="L101" sqref="L101"/>
    </sheetView>
  </sheetViews>
  <sheetFormatPr defaultColWidth="9.140625" defaultRowHeight="15"/>
  <cols>
    <col min="1" max="1" width="4.140625" style="174" customWidth="1"/>
    <col min="2" max="3" width="9.140625" style="174" customWidth="1"/>
    <col min="4" max="4" width="9.28125" style="174" customWidth="1"/>
    <col min="5" max="5" width="13.140625" style="174" customWidth="1"/>
    <col min="6" max="6" width="14.28125" style="174" customWidth="1"/>
    <col min="7" max="7" width="13.28125" style="174" customWidth="1"/>
    <col min="8" max="8" width="11.8515625" style="174" customWidth="1"/>
    <col min="9" max="10" width="9.57421875" style="174" customWidth="1"/>
    <col min="11" max="11" width="13.00390625" style="174" customWidth="1"/>
    <col min="12" max="12" width="14.8515625" style="174" customWidth="1"/>
    <col min="13" max="13" width="13.421875" style="174" customWidth="1"/>
    <col min="14" max="14" width="14.28125" style="174" customWidth="1"/>
    <col min="15" max="15" width="8.421875" style="174" customWidth="1"/>
    <col min="16" max="16" width="10.421875" style="174" customWidth="1"/>
    <col min="17" max="17" width="9.140625" style="174" customWidth="1"/>
    <col min="18" max="18" width="11.7109375" style="174" customWidth="1"/>
    <col min="19" max="19" width="11.140625" style="174" bestFit="1" customWidth="1"/>
    <col min="20" max="16384" width="9.140625" style="174" customWidth="1"/>
  </cols>
  <sheetData>
    <row r="1" spans="1:16" ht="15">
      <c r="A1" s="173"/>
      <c r="B1" s="485" t="s">
        <v>0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</row>
    <row r="2" spans="1:16" ht="17.25" customHeight="1">
      <c r="A2" s="173"/>
      <c r="B2" s="520" t="s">
        <v>247</v>
      </c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</row>
    <row r="3" spans="1:16" ht="21.75" customHeight="1" thickBot="1">
      <c r="A3" s="173"/>
      <c r="B3" s="521" t="s">
        <v>1</v>
      </c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</row>
    <row r="4" spans="1:16" ht="15.75" thickBot="1">
      <c r="A4" s="173"/>
      <c r="B4" s="522" t="s">
        <v>2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</row>
    <row r="5" spans="1:16" ht="24" customHeight="1" thickBot="1">
      <c r="A5" s="2"/>
      <c r="B5" s="523" t="s">
        <v>193</v>
      </c>
      <c r="C5" s="524"/>
      <c r="D5" s="524"/>
      <c r="E5" s="525"/>
      <c r="F5" s="346"/>
      <c r="G5" s="346"/>
      <c r="H5" s="346"/>
      <c r="I5" s="346"/>
      <c r="J5" s="346"/>
      <c r="K5" s="346"/>
      <c r="L5" s="346"/>
      <c r="M5" s="346"/>
      <c r="N5" s="346"/>
      <c r="O5" s="489"/>
      <c r="P5" s="3">
        <v>365352.15</v>
      </c>
    </row>
    <row r="6" spans="1:16" ht="20.25" customHeight="1" thickBot="1">
      <c r="A6" s="2"/>
      <c r="B6" s="523" t="s">
        <v>252</v>
      </c>
      <c r="C6" s="524"/>
      <c r="D6" s="524"/>
      <c r="E6" s="525"/>
      <c r="F6" s="346"/>
      <c r="G6" s="346"/>
      <c r="H6" s="346"/>
      <c r="I6" s="346"/>
      <c r="J6" s="346"/>
      <c r="K6" s="346"/>
      <c r="L6" s="346"/>
      <c r="M6" s="346"/>
      <c r="N6" s="346"/>
      <c r="O6" s="489"/>
      <c r="P6" s="294">
        <f>P10</f>
        <v>204038.96</v>
      </c>
    </row>
    <row r="7" spans="1:16" ht="15.75" thickBot="1">
      <c r="A7" s="2"/>
      <c r="B7" s="526"/>
      <c r="C7" s="527"/>
      <c r="D7" s="527"/>
      <c r="E7" s="528"/>
      <c r="F7" s="529"/>
      <c r="G7" s="529"/>
      <c r="H7" s="529"/>
      <c r="I7" s="529"/>
      <c r="J7" s="529"/>
      <c r="K7" s="529"/>
      <c r="L7" s="529"/>
      <c r="M7" s="529"/>
      <c r="N7" s="530"/>
      <c r="O7" s="530"/>
      <c r="P7" s="531"/>
    </row>
    <row r="8" spans="1:16" ht="75.75" thickBot="1">
      <c r="A8" s="4"/>
      <c r="B8" s="523" t="s">
        <v>3</v>
      </c>
      <c r="C8" s="524"/>
      <c r="D8" s="524"/>
      <c r="E8" s="525"/>
      <c r="F8" s="532" t="s">
        <v>4</v>
      </c>
      <c r="G8" s="533"/>
      <c r="H8" s="175" t="s">
        <v>5</v>
      </c>
      <c r="I8" s="532" t="s">
        <v>6</v>
      </c>
      <c r="J8" s="533"/>
      <c r="K8" s="176" t="s">
        <v>7</v>
      </c>
      <c r="L8" s="175" t="s">
        <v>8</v>
      </c>
      <c r="M8" s="302" t="s">
        <v>9</v>
      </c>
      <c r="N8" s="300" t="s">
        <v>10</v>
      </c>
      <c r="O8" s="178" t="s">
        <v>11</v>
      </c>
      <c r="P8" s="179"/>
    </row>
    <row r="9" spans="1:16" ht="15.75" thickBot="1">
      <c r="A9" s="2"/>
      <c r="B9" s="490" t="s">
        <v>12</v>
      </c>
      <c r="C9" s="491"/>
      <c r="D9" s="491"/>
      <c r="E9" s="492"/>
      <c r="F9" s="330">
        <v>0</v>
      </c>
      <c r="G9" s="331"/>
      <c r="H9" s="3">
        <v>0</v>
      </c>
      <c r="I9" s="330">
        <v>0</v>
      </c>
      <c r="J9" s="331"/>
      <c r="K9" s="78">
        <v>0</v>
      </c>
      <c r="L9" s="3">
        <v>0</v>
      </c>
      <c r="M9" s="293">
        <v>0</v>
      </c>
      <c r="N9" s="3">
        <v>0</v>
      </c>
      <c r="O9" s="75">
        <v>0</v>
      </c>
      <c r="P9" s="294">
        <v>0</v>
      </c>
    </row>
    <row r="10" spans="1:16" ht="29.25" customHeight="1" thickBot="1">
      <c r="A10" s="2"/>
      <c r="B10" s="490" t="s">
        <v>13</v>
      </c>
      <c r="C10" s="491"/>
      <c r="D10" s="491"/>
      <c r="E10" s="492"/>
      <c r="F10" s="330">
        <v>-54157.98</v>
      </c>
      <c r="G10" s="331"/>
      <c r="H10" s="3">
        <v>12970.68</v>
      </c>
      <c r="I10" s="330">
        <v>8149</v>
      </c>
      <c r="J10" s="331"/>
      <c r="K10" s="78">
        <v>0</v>
      </c>
      <c r="L10" s="3">
        <v>228949.55</v>
      </c>
      <c r="M10" s="293">
        <v>0</v>
      </c>
      <c r="N10" s="3">
        <v>0</v>
      </c>
      <c r="O10" s="3">
        <v>8127.71</v>
      </c>
      <c r="P10" s="294">
        <f>SUM(F10:O10)</f>
        <v>204038.96</v>
      </c>
    </row>
    <row r="11" spans="1:16" ht="15.75" thickBot="1">
      <c r="A11" s="296"/>
      <c r="B11" s="546"/>
      <c r="C11" s="547"/>
      <c r="D11" s="547"/>
      <c r="E11" s="547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9"/>
    </row>
    <row r="12" spans="1:16" ht="15">
      <c r="A12" s="446"/>
      <c r="B12" s="550" t="s">
        <v>14</v>
      </c>
      <c r="C12" s="551"/>
      <c r="D12" s="551"/>
      <c r="E12" s="552"/>
      <c r="F12" s="534"/>
      <c r="G12" s="556" t="s">
        <v>15</v>
      </c>
      <c r="H12" s="548"/>
      <c r="I12" s="548"/>
      <c r="J12" s="548"/>
      <c r="K12" s="549"/>
      <c r="L12" s="534" t="s">
        <v>16</v>
      </c>
      <c r="M12" s="534" t="s">
        <v>17</v>
      </c>
      <c r="N12" s="534" t="s">
        <v>18</v>
      </c>
      <c r="O12" s="534" t="s">
        <v>19</v>
      </c>
      <c r="P12" s="534" t="s">
        <v>20</v>
      </c>
    </row>
    <row r="13" spans="1:16" ht="15.75" thickBot="1">
      <c r="A13" s="447"/>
      <c r="B13" s="553"/>
      <c r="C13" s="554"/>
      <c r="D13" s="554"/>
      <c r="E13" s="555"/>
      <c r="F13" s="535"/>
      <c r="G13" s="557"/>
      <c r="H13" s="558"/>
      <c r="I13" s="558"/>
      <c r="J13" s="558"/>
      <c r="K13" s="559"/>
      <c r="L13" s="535"/>
      <c r="M13" s="535"/>
      <c r="N13" s="535"/>
      <c r="O13" s="535"/>
      <c r="P13" s="535"/>
    </row>
    <row r="14" spans="1:16" ht="20.25" customHeight="1" thickBot="1">
      <c r="A14" s="2"/>
      <c r="B14" s="536" t="s">
        <v>21</v>
      </c>
      <c r="C14" s="537"/>
      <c r="D14" s="538"/>
      <c r="E14" s="180" t="s">
        <v>22</v>
      </c>
      <c r="F14" s="306">
        <v>3</v>
      </c>
      <c r="G14" s="539">
        <v>4</v>
      </c>
      <c r="H14" s="529"/>
      <c r="I14" s="529"/>
      <c r="J14" s="531"/>
      <c r="K14" s="182">
        <v>5</v>
      </c>
      <c r="L14" s="305">
        <v>6</v>
      </c>
      <c r="M14" s="175">
        <v>7</v>
      </c>
      <c r="N14" s="305">
        <v>8</v>
      </c>
      <c r="O14" s="305">
        <v>9</v>
      </c>
      <c r="P14" s="175">
        <v>10</v>
      </c>
    </row>
    <row r="15" spans="1:16" ht="29.25" thickBot="1">
      <c r="A15" s="446"/>
      <c r="B15" s="540" t="s">
        <v>23</v>
      </c>
      <c r="C15" s="541"/>
      <c r="D15" s="542"/>
      <c r="E15" s="8" t="s">
        <v>24</v>
      </c>
      <c r="F15" s="8" t="s">
        <v>25</v>
      </c>
      <c r="G15" s="471" t="s">
        <v>26</v>
      </c>
      <c r="H15" s="472"/>
      <c r="I15" s="472"/>
      <c r="J15" s="473"/>
      <c r="K15" s="79" t="s">
        <v>27</v>
      </c>
      <c r="L15" s="9" t="s">
        <v>26</v>
      </c>
      <c r="M15" s="10" t="s">
        <v>28</v>
      </c>
      <c r="N15" s="10" t="s">
        <v>26</v>
      </c>
      <c r="O15" s="10" t="s">
        <v>26</v>
      </c>
      <c r="P15" s="11" t="s">
        <v>26</v>
      </c>
    </row>
    <row r="16" spans="1:16" ht="41.25" customHeight="1" thickBot="1">
      <c r="A16" s="447"/>
      <c r="B16" s="543"/>
      <c r="C16" s="544"/>
      <c r="D16" s="545"/>
      <c r="E16" s="109">
        <f>SUM(E17:E23)</f>
        <v>1541270</v>
      </c>
      <c r="F16" s="110">
        <f>SUM(F17:F23)</f>
        <v>15902599</v>
      </c>
      <c r="G16" s="474">
        <f>G17+G18+G19+G20+G21+G22+G23</f>
        <v>1312795.45</v>
      </c>
      <c r="H16" s="475"/>
      <c r="I16" s="475"/>
      <c r="J16" s="476"/>
      <c r="K16" s="299">
        <f>SUM(K17:K23)</f>
        <v>1312795.45</v>
      </c>
      <c r="L16" s="299">
        <f>SUM(L17:L23)</f>
        <v>17039740.2</v>
      </c>
      <c r="M16" s="299">
        <f>SUM(M17:M23)</f>
        <v>228474.54999999987</v>
      </c>
      <c r="N16" s="299">
        <f>SUM(N17:N23)</f>
        <v>-1137141.2</v>
      </c>
      <c r="O16" s="12">
        <v>0</v>
      </c>
      <c r="P16" s="12">
        <v>0</v>
      </c>
    </row>
    <row r="17" spans="1:18" ht="69.75" customHeight="1" thickBot="1">
      <c r="A17" s="184" t="s">
        <v>195</v>
      </c>
      <c r="B17" s="497" t="s">
        <v>146</v>
      </c>
      <c r="C17" s="498"/>
      <c r="D17" s="499"/>
      <c r="E17" s="108">
        <v>772545</v>
      </c>
      <c r="F17" s="108">
        <f>8146481+E17</f>
        <v>8919026</v>
      </c>
      <c r="G17" s="450">
        <v>1269948.81</v>
      </c>
      <c r="H17" s="451"/>
      <c r="I17" s="451"/>
      <c r="J17" s="452"/>
      <c r="K17" s="298">
        <f>G17</f>
        <v>1269948.81</v>
      </c>
      <c r="L17" s="15">
        <f>9432426.36+K17</f>
        <v>10702375.17</v>
      </c>
      <c r="M17" s="119">
        <f>E17-K17</f>
        <v>-497403.81000000006</v>
      </c>
      <c r="N17" s="124">
        <f>F17-L17</f>
        <v>-1783349.17</v>
      </c>
      <c r="O17" s="16">
        <v>0</v>
      </c>
      <c r="P17" s="16">
        <v>0</v>
      </c>
      <c r="Q17" s="173"/>
      <c r="R17" s="18">
        <v>365352.1499999948</v>
      </c>
    </row>
    <row r="18" spans="1:18" ht="54.75" customHeight="1" thickBot="1">
      <c r="A18" s="185" t="s">
        <v>196</v>
      </c>
      <c r="B18" s="566" t="s">
        <v>216</v>
      </c>
      <c r="C18" s="567"/>
      <c r="D18" s="568"/>
      <c r="E18" s="104">
        <v>757725</v>
      </c>
      <c r="F18" s="108">
        <f>6134848+E18</f>
        <v>6892573</v>
      </c>
      <c r="G18" s="450">
        <v>-89971.1</v>
      </c>
      <c r="H18" s="451"/>
      <c r="I18" s="451"/>
      <c r="J18" s="452"/>
      <c r="K18" s="298">
        <f>G18</f>
        <v>-89971.1</v>
      </c>
      <c r="L18" s="15">
        <f>4811971.1+K18</f>
        <v>4722000</v>
      </c>
      <c r="M18" s="119">
        <f>E18-K18</f>
        <v>847696.1</v>
      </c>
      <c r="N18" s="124">
        <f>F18-L18</f>
        <v>2170573</v>
      </c>
      <c r="O18" s="16">
        <v>0</v>
      </c>
      <c r="P18" s="16">
        <v>0</v>
      </c>
      <c r="Q18" s="173"/>
      <c r="R18" s="173"/>
    </row>
    <row r="19" spans="1:18" ht="42.75" customHeight="1" thickBot="1">
      <c r="A19" s="185" t="s">
        <v>197</v>
      </c>
      <c r="B19" s="569" t="s">
        <v>149</v>
      </c>
      <c r="C19" s="570"/>
      <c r="D19" s="571"/>
      <c r="E19" s="186"/>
      <c r="F19" s="108">
        <f>0+E19</f>
        <v>0</v>
      </c>
      <c r="G19" s="450"/>
      <c r="H19" s="451"/>
      <c r="I19" s="451"/>
      <c r="J19" s="452"/>
      <c r="K19" s="298">
        <f>G19</f>
        <v>0</v>
      </c>
      <c r="L19" s="15">
        <f>166320+K19</f>
        <v>166320</v>
      </c>
      <c r="M19" s="119">
        <f aca="true" t="shared" si="0" ref="M19:N23">E19-K19</f>
        <v>0</v>
      </c>
      <c r="N19" s="124">
        <f t="shared" si="0"/>
        <v>-166320</v>
      </c>
      <c r="O19" s="16">
        <v>0</v>
      </c>
      <c r="P19" s="17">
        <v>0</v>
      </c>
      <c r="Q19" s="173"/>
      <c r="R19" s="173"/>
    </row>
    <row r="20" spans="1:18" ht="50.25" customHeight="1" thickBot="1">
      <c r="A20" s="187" t="s">
        <v>198</v>
      </c>
      <c r="B20" s="560" t="s">
        <v>147</v>
      </c>
      <c r="C20" s="561"/>
      <c r="D20" s="562"/>
      <c r="E20" s="188"/>
      <c r="F20" s="108">
        <f>0+E20</f>
        <v>0</v>
      </c>
      <c r="G20" s="450"/>
      <c r="H20" s="451"/>
      <c r="I20" s="451"/>
      <c r="J20" s="452"/>
      <c r="K20" s="298">
        <f>G20</f>
        <v>0</v>
      </c>
      <c r="L20" s="15">
        <f>0+K20</f>
        <v>0</v>
      </c>
      <c r="M20" s="119">
        <f t="shared" si="0"/>
        <v>0</v>
      </c>
      <c r="N20" s="124">
        <f t="shared" si="0"/>
        <v>0</v>
      </c>
      <c r="O20" s="16">
        <v>0</v>
      </c>
      <c r="P20" s="16">
        <v>0</v>
      </c>
      <c r="Q20" s="18"/>
      <c r="R20" s="18"/>
    </row>
    <row r="21" spans="1:18" ht="37.5" customHeight="1" thickBot="1">
      <c r="A21" s="189" t="s">
        <v>199</v>
      </c>
      <c r="B21" s="563" t="s">
        <v>148</v>
      </c>
      <c r="C21" s="564"/>
      <c r="D21" s="565"/>
      <c r="E21" s="190"/>
      <c r="F21" s="108">
        <f>0+E21</f>
        <v>0</v>
      </c>
      <c r="G21" s="450"/>
      <c r="H21" s="451"/>
      <c r="I21" s="451"/>
      <c r="J21" s="452"/>
      <c r="K21" s="298">
        <f>G21</f>
        <v>0</v>
      </c>
      <c r="L21" s="15">
        <f>0+K21</f>
        <v>0</v>
      </c>
      <c r="M21" s="119">
        <f t="shared" si="0"/>
        <v>0</v>
      </c>
      <c r="N21" s="124">
        <f t="shared" si="0"/>
        <v>0</v>
      </c>
      <c r="O21" s="16">
        <v>0</v>
      </c>
      <c r="P21" s="16">
        <v>0</v>
      </c>
      <c r="Q21" s="18"/>
      <c r="R21" s="173"/>
    </row>
    <row r="22" spans="1:18" ht="51" customHeight="1" thickBot="1">
      <c r="A22" s="189" t="s">
        <v>200</v>
      </c>
      <c r="B22" s="497" t="s">
        <v>201</v>
      </c>
      <c r="C22" s="498"/>
      <c r="D22" s="499"/>
      <c r="E22" s="82">
        <v>11000</v>
      </c>
      <c r="F22" s="108">
        <f>80000+E22</f>
        <v>91000</v>
      </c>
      <c r="G22" s="450">
        <v>2863.78</v>
      </c>
      <c r="H22" s="451"/>
      <c r="I22" s="451"/>
      <c r="J22" s="452"/>
      <c r="K22" s="298">
        <f>G22</f>
        <v>2863.78</v>
      </c>
      <c r="L22" s="15">
        <f>83730.3+K22</f>
        <v>86594.08</v>
      </c>
      <c r="M22" s="119">
        <f>E22-K22</f>
        <v>8136.219999999999</v>
      </c>
      <c r="N22" s="124">
        <f t="shared" si="0"/>
        <v>4405.919999999998</v>
      </c>
      <c r="O22" s="16">
        <v>0</v>
      </c>
      <c r="P22" s="16">
        <v>0</v>
      </c>
      <c r="Q22" s="173"/>
      <c r="R22" s="173"/>
    </row>
    <row r="23" spans="1:18" ht="31.5" customHeight="1" thickBot="1">
      <c r="A23" s="189" t="s">
        <v>202</v>
      </c>
      <c r="B23" s="572" t="s">
        <v>140</v>
      </c>
      <c r="C23" s="573"/>
      <c r="D23" s="574"/>
      <c r="E23" s="14"/>
      <c r="F23" s="108"/>
      <c r="G23" s="450">
        <v>129953.96</v>
      </c>
      <c r="H23" s="451"/>
      <c r="I23" s="451"/>
      <c r="J23" s="452"/>
      <c r="K23" s="298">
        <f>G23</f>
        <v>129953.96</v>
      </c>
      <c r="L23" s="15">
        <f>1232496.99+K23</f>
        <v>1362450.95</v>
      </c>
      <c r="M23" s="119">
        <f t="shared" si="0"/>
        <v>-129953.96</v>
      </c>
      <c r="N23" s="124">
        <f t="shared" si="0"/>
        <v>-1362450.95</v>
      </c>
      <c r="O23" s="16">
        <v>0</v>
      </c>
      <c r="P23" s="16">
        <v>0</v>
      </c>
      <c r="Q23" s="173"/>
      <c r="R23" s="173"/>
    </row>
    <row r="24" spans="1:18" ht="15">
      <c r="A24" s="446"/>
      <c r="B24" s="575" t="s">
        <v>30</v>
      </c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7"/>
      <c r="Q24" s="173"/>
      <c r="R24" s="173"/>
    </row>
    <row r="25" spans="1:18" ht="15.75" thickBot="1">
      <c r="A25" s="447"/>
      <c r="B25" s="578"/>
      <c r="C25" s="579"/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579"/>
      <c r="P25" s="580"/>
      <c r="Q25" s="173"/>
      <c r="R25" s="173"/>
    </row>
    <row r="26" spans="1:18" ht="15.75" thickBot="1">
      <c r="A26" s="446"/>
      <c r="B26" s="550" t="s">
        <v>14</v>
      </c>
      <c r="C26" s="551"/>
      <c r="D26" s="552"/>
      <c r="E26" s="581" t="s">
        <v>24</v>
      </c>
      <c r="F26" s="583" t="s">
        <v>25</v>
      </c>
      <c r="G26" s="532" t="s">
        <v>31</v>
      </c>
      <c r="H26" s="522"/>
      <c r="I26" s="522"/>
      <c r="J26" s="522"/>
      <c r="K26" s="533"/>
      <c r="L26" s="534" t="s">
        <v>16</v>
      </c>
      <c r="M26" s="534" t="s">
        <v>17</v>
      </c>
      <c r="N26" s="534" t="s">
        <v>18</v>
      </c>
      <c r="O26" s="534" t="s">
        <v>19</v>
      </c>
      <c r="P26" s="534" t="s">
        <v>20</v>
      </c>
      <c r="Q26" s="173"/>
      <c r="R26" s="173"/>
    </row>
    <row r="27" spans="1:18" ht="73.5" customHeight="1" thickBot="1">
      <c r="A27" s="447"/>
      <c r="B27" s="553"/>
      <c r="C27" s="554"/>
      <c r="D27" s="555"/>
      <c r="E27" s="582"/>
      <c r="F27" s="584"/>
      <c r="G27" s="301" t="s">
        <v>32</v>
      </c>
      <c r="H27" s="301" t="s">
        <v>33</v>
      </c>
      <c r="I27" s="301" t="s">
        <v>34</v>
      </c>
      <c r="J27" s="175" t="s">
        <v>220</v>
      </c>
      <c r="K27" s="176" t="s">
        <v>27</v>
      </c>
      <c r="L27" s="535"/>
      <c r="M27" s="535"/>
      <c r="N27" s="535"/>
      <c r="O27" s="535"/>
      <c r="P27" s="535"/>
      <c r="Q27" s="173"/>
      <c r="R27" s="18">
        <v>365352.1499999948</v>
      </c>
    </row>
    <row r="28" spans="1:18" ht="15.75" thickBot="1">
      <c r="A28" s="2"/>
      <c r="B28" s="536">
        <v>1</v>
      </c>
      <c r="C28" s="537"/>
      <c r="D28" s="538"/>
      <c r="E28" s="180" t="s">
        <v>22</v>
      </c>
      <c r="F28" s="301">
        <v>3</v>
      </c>
      <c r="G28" s="301">
        <v>4</v>
      </c>
      <c r="H28" s="301">
        <v>5</v>
      </c>
      <c r="I28" s="175">
        <v>6</v>
      </c>
      <c r="J28" s="175">
        <v>7</v>
      </c>
      <c r="K28" s="192">
        <v>8</v>
      </c>
      <c r="L28" s="305">
        <v>9</v>
      </c>
      <c r="M28" s="175">
        <v>10</v>
      </c>
      <c r="N28" s="305">
        <v>11</v>
      </c>
      <c r="O28" s="175">
        <v>12</v>
      </c>
      <c r="P28" s="305">
        <v>13</v>
      </c>
      <c r="Q28" s="173"/>
      <c r="R28" s="173"/>
    </row>
    <row r="29" spans="1:18" ht="20.25" customHeight="1" thickBot="1">
      <c r="A29" s="2"/>
      <c r="B29" s="539" t="s">
        <v>23</v>
      </c>
      <c r="C29" s="529"/>
      <c r="D29" s="531"/>
      <c r="E29" s="76">
        <f>E30+E34+E38+E44+E51+E54+E64+E67+E71+E74+E78+E80+E88+E101+E132+E135+E138+E141</f>
        <v>1541270</v>
      </c>
      <c r="F29" s="76">
        <f>F30+F34+F38+F44+F51+F54+F64+F67+F71+F74+F78+F80+F88+F101+F132+F135+F138+F141</f>
        <v>15861099</v>
      </c>
      <c r="G29" s="76">
        <f>G30+G34+G38+G44+G51+G54+G64+G67+G71+G74+G78+G80+G88+G101+G132+G135+G138+G141</f>
        <v>1452323.44</v>
      </c>
      <c r="H29" s="76">
        <f>H30+H34+H38+H44+H51+H54+H64+H67+H71+H74+H78+H80+H88+H101+H132+H135+H138+H141</f>
        <v>-77000.42</v>
      </c>
      <c r="I29" s="76">
        <f>I30+I34+I38+I44+I51+I54+I64+I67+I71+I74+I78+I80+I88+I101+I132+I135+I138+I141</f>
        <v>8149</v>
      </c>
      <c r="J29" s="76">
        <f>J30+J34+J38+J44+J51+J54+J64+J67+J71+J74+J78+J80+J88+J101+J132+J135+J138+J141</f>
        <v>0</v>
      </c>
      <c r="K29" s="76">
        <f>K30+K34+K38+K44+K51+K54+K64+K67+K71+K74+K78+K80+K88+K101+K132+K135+K138+K141</f>
        <v>1383472.02</v>
      </c>
      <c r="L29" s="76">
        <f>L30+L34+L38+L44+L51+L54+L64+L67+L71+L74+L78+L80+L88+L101+L132+L135+L138+L141</f>
        <v>17271729.970000003</v>
      </c>
      <c r="M29" s="76">
        <f>M30+M34+M38+M44+M51+M54+M64+M67+M71+M74+M78+M80+M88+M101+M132+M135+M138+M141</f>
        <v>157797.98000000004</v>
      </c>
      <c r="N29" s="76">
        <f>N30+N34+N38+N44+N51+N54+N64+N67+N71+N74+N78+N80+N88+N101+N132+N135+N138+N141</f>
        <v>-1410630.9700000002</v>
      </c>
      <c r="O29" s="21">
        <v>0</v>
      </c>
      <c r="P29" s="21">
        <v>0</v>
      </c>
      <c r="Q29" s="173"/>
      <c r="R29" s="18"/>
    </row>
    <row r="30" spans="1:18" ht="30.75" customHeight="1" thickBot="1">
      <c r="A30" s="22" t="s">
        <v>21</v>
      </c>
      <c r="B30" s="426" t="s">
        <v>36</v>
      </c>
      <c r="C30" s="338"/>
      <c r="D30" s="339"/>
      <c r="E30" s="111">
        <f>SUM(E31:E32)</f>
        <v>847724</v>
      </c>
      <c r="F30" s="81">
        <f>F31+F32+F33</f>
        <v>8728985</v>
      </c>
      <c r="G30" s="20">
        <f>G31+G32+G33</f>
        <v>838844.32</v>
      </c>
      <c r="H30" s="20">
        <f>H31</f>
        <v>-62996.74</v>
      </c>
      <c r="I30" s="20"/>
      <c r="J30" s="20"/>
      <c r="K30" s="81">
        <f>G30+H30</f>
        <v>775847.58</v>
      </c>
      <c r="L30" s="23">
        <f>L31+L32</f>
        <v>7834403.42</v>
      </c>
      <c r="M30" s="120">
        <f>E30-K30</f>
        <v>71876.42000000004</v>
      </c>
      <c r="N30" s="122">
        <f>F30-L30</f>
        <v>894581.5800000001</v>
      </c>
      <c r="O30" s="26">
        <v>0</v>
      </c>
      <c r="P30" s="27">
        <v>0</v>
      </c>
      <c r="Q30" s="18"/>
      <c r="R30" s="18"/>
    </row>
    <row r="31" spans="1:18" ht="21" customHeight="1" thickBot="1">
      <c r="A31" s="29" t="s">
        <v>150</v>
      </c>
      <c r="B31" s="430" t="s">
        <v>151</v>
      </c>
      <c r="C31" s="431"/>
      <c r="D31" s="432"/>
      <c r="E31" s="112">
        <v>619779</v>
      </c>
      <c r="F31" s="108">
        <f>4997790+E31</f>
        <v>5617569</v>
      </c>
      <c r="G31" s="33"/>
      <c r="H31" s="33">
        <v>-62996.74</v>
      </c>
      <c r="I31" s="33"/>
      <c r="J31" s="33"/>
      <c r="K31" s="82">
        <f>H31</f>
        <v>-62996.74</v>
      </c>
      <c r="L31" s="15">
        <f>3864156.74+K31</f>
        <v>3801160</v>
      </c>
      <c r="M31" s="119">
        <f>E31-K31</f>
        <v>682775.74</v>
      </c>
      <c r="N31" s="121">
        <f>F31-L31</f>
        <v>1816409</v>
      </c>
      <c r="O31" s="31">
        <v>0</v>
      </c>
      <c r="P31" s="123">
        <v>0</v>
      </c>
      <c r="Q31" s="18"/>
      <c r="R31" s="18"/>
    </row>
    <row r="32" spans="1:18" ht="28.5" customHeight="1" thickBot="1">
      <c r="A32" s="29" t="s">
        <v>153</v>
      </c>
      <c r="B32" s="340" t="s">
        <v>152</v>
      </c>
      <c r="C32" s="341"/>
      <c r="D32" s="342"/>
      <c r="E32" s="112">
        <v>227945</v>
      </c>
      <c r="F32" s="108">
        <f>2883471+E32</f>
        <v>3111416</v>
      </c>
      <c r="G32" s="33">
        <v>838844.32</v>
      </c>
      <c r="H32" s="33"/>
      <c r="I32" s="33"/>
      <c r="J32" s="33"/>
      <c r="K32" s="15">
        <f>0+G32</f>
        <v>838844.32</v>
      </c>
      <c r="L32" s="15">
        <f>3194399.1+K32</f>
        <v>4033243.42</v>
      </c>
      <c r="M32" s="119">
        <f>E32-K32</f>
        <v>-610899.32</v>
      </c>
      <c r="N32" s="121">
        <f>F32-L32</f>
        <v>-921827.4199999999</v>
      </c>
      <c r="O32" s="31">
        <v>0</v>
      </c>
      <c r="P32" s="123">
        <v>0</v>
      </c>
      <c r="Q32" s="18"/>
      <c r="R32" s="18"/>
    </row>
    <row r="33" spans="1:18" ht="15.75" thickBot="1">
      <c r="A33" s="29" t="s">
        <v>155</v>
      </c>
      <c r="B33" s="340" t="s">
        <v>154</v>
      </c>
      <c r="C33" s="341"/>
      <c r="D33" s="342"/>
      <c r="E33" s="95"/>
      <c r="F33" s="15"/>
      <c r="G33" s="33"/>
      <c r="H33" s="33"/>
      <c r="I33" s="33"/>
      <c r="J33" s="33"/>
      <c r="K33" s="82"/>
      <c r="L33" s="15"/>
      <c r="M33" s="193"/>
      <c r="N33" s="194"/>
      <c r="O33" s="31"/>
      <c r="P33" s="123"/>
      <c r="Q33" s="18"/>
      <c r="R33" s="18"/>
    </row>
    <row r="34" spans="1:18" ht="30.75" customHeight="1" thickBot="1">
      <c r="A34" s="128" t="s">
        <v>22</v>
      </c>
      <c r="B34" s="395" t="s">
        <v>37</v>
      </c>
      <c r="C34" s="396"/>
      <c r="D34" s="397"/>
      <c r="E34" s="81">
        <f>SUM(E35:E37)</f>
        <v>171240</v>
      </c>
      <c r="F34" s="81">
        <f>F35+F36+F37</f>
        <v>1763254</v>
      </c>
      <c r="G34" s="20">
        <f>G35+G36+G37</f>
        <v>186286.51</v>
      </c>
      <c r="H34" s="20">
        <f>H35</f>
        <v>-14003.68</v>
      </c>
      <c r="I34" s="20"/>
      <c r="J34" s="20"/>
      <c r="K34" s="81">
        <f>G34+H34</f>
        <v>172282.83000000002</v>
      </c>
      <c r="L34" s="23">
        <f>L35+L36</f>
        <v>1538915.33</v>
      </c>
      <c r="M34" s="120">
        <f aca="true" t="shared" si="1" ref="M34:N36">E34-K34</f>
        <v>-1042.8300000000163</v>
      </c>
      <c r="N34" s="125">
        <f t="shared" si="1"/>
        <v>224338.66999999993</v>
      </c>
      <c r="O34" s="26">
        <v>0</v>
      </c>
      <c r="P34" s="27">
        <v>0</v>
      </c>
      <c r="Q34" s="173"/>
      <c r="R34" s="173"/>
    </row>
    <row r="35" spans="1:18" ht="15.75" thickBot="1">
      <c r="A35" s="29" t="s">
        <v>156</v>
      </c>
      <c r="B35" s="430" t="s">
        <v>151</v>
      </c>
      <c r="C35" s="431"/>
      <c r="D35" s="432"/>
      <c r="E35" s="82">
        <v>125195</v>
      </c>
      <c r="F35" s="108">
        <f>1009554+E35</f>
        <v>1134749</v>
      </c>
      <c r="G35" s="33"/>
      <c r="H35" s="33">
        <v>-14003.68</v>
      </c>
      <c r="I35" s="33"/>
      <c r="J35" s="33"/>
      <c r="K35" s="82">
        <f>H35</f>
        <v>-14003.68</v>
      </c>
      <c r="L35" s="15">
        <f>781837.68+K35</f>
        <v>767834</v>
      </c>
      <c r="M35" s="119">
        <f t="shared" si="1"/>
        <v>139198.68</v>
      </c>
      <c r="N35" s="121">
        <f t="shared" si="1"/>
        <v>366915</v>
      </c>
      <c r="O35" s="31">
        <v>0</v>
      </c>
      <c r="P35" s="123">
        <v>0</v>
      </c>
      <c r="Q35" s="173"/>
      <c r="R35" s="248">
        <f>10506304-F29</f>
        <v>-5354795</v>
      </c>
    </row>
    <row r="36" spans="1:18" ht="26.25" customHeight="1" thickBot="1">
      <c r="A36" s="29" t="s">
        <v>157</v>
      </c>
      <c r="B36" s="340" t="s">
        <v>152</v>
      </c>
      <c r="C36" s="341"/>
      <c r="D36" s="342"/>
      <c r="E36" s="82">
        <v>46045</v>
      </c>
      <c r="F36" s="108">
        <f>582460+E36</f>
        <v>628505</v>
      </c>
      <c r="G36" s="33">
        <v>186286.51</v>
      </c>
      <c r="H36" s="33"/>
      <c r="I36" s="33"/>
      <c r="J36" s="33"/>
      <c r="K36" s="82">
        <f>G36</f>
        <v>186286.51</v>
      </c>
      <c r="L36" s="15">
        <f>584794.82+K36</f>
        <v>771081.33</v>
      </c>
      <c r="M36" s="119">
        <f t="shared" si="1"/>
        <v>-140241.51</v>
      </c>
      <c r="N36" s="121">
        <f t="shared" si="1"/>
        <v>-142576.32999999996</v>
      </c>
      <c r="O36" s="31">
        <v>0</v>
      </c>
      <c r="P36" s="123">
        <v>0</v>
      </c>
      <c r="Q36" s="173"/>
      <c r="R36" s="173"/>
    </row>
    <row r="37" spans="1:18" ht="16.5" customHeight="1" thickBot="1">
      <c r="A37" s="29" t="s">
        <v>158</v>
      </c>
      <c r="B37" s="340" t="s">
        <v>154</v>
      </c>
      <c r="C37" s="341"/>
      <c r="D37" s="342"/>
      <c r="E37" s="82"/>
      <c r="F37" s="108"/>
      <c r="G37" s="33"/>
      <c r="H37" s="33"/>
      <c r="I37" s="33"/>
      <c r="J37" s="33"/>
      <c r="K37" s="82"/>
      <c r="L37" s="15"/>
      <c r="M37" s="193"/>
      <c r="N37" s="195"/>
      <c r="O37" s="31"/>
      <c r="P37" s="123"/>
      <c r="Q37" s="173"/>
      <c r="R37" s="173"/>
    </row>
    <row r="38" spans="1:18" ht="25.5" customHeight="1" thickBot="1">
      <c r="A38" s="22" t="s">
        <v>38</v>
      </c>
      <c r="B38" s="395" t="s">
        <v>39</v>
      </c>
      <c r="C38" s="396"/>
      <c r="D38" s="397"/>
      <c r="E38" s="81">
        <f>SUM(E41:E43)</f>
        <v>4500</v>
      </c>
      <c r="F38" s="114">
        <f>F41+F42+F43</f>
        <v>52500</v>
      </c>
      <c r="G38" s="20">
        <f>G40</f>
        <v>4949.610000000001</v>
      </c>
      <c r="H38" s="20"/>
      <c r="I38" s="20"/>
      <c r="J38" s="20"/>
      <c r="K38" s="23">
        <f>K39+K40</f>
        <v>4949.610000000001</v>
      </c>
      <c r="L38" s="23">
        <f>45701.77+K38</f>
        <v>50651.38</v>
      </c>
      <c r="M38" s="120">
        <f>E38-K38</f>
        <v>-449.6100000000006</v>
      </c>
      <c r="N38" s="122">
        <f>F38-L38</f>
        <v>1848.6200000000026</v>
      </c>
      <c r="O38" s="26">
        <v>0</v>
      </c>
      <c r="P38" s="27">
        <v>0</v>
      </c>
      <c r="Q38" s="173"/>
      <c r="R38" s="173"/>
    </row>
    <row r="39" spans="1:18" ht="18.75" customHeight="1" thickBot="1">
      <c r="A39" s="29" t="s">
        <v>159</v>
      </c>
      <c r="B39" s="430" t="s">
        <v>151</v>
      </c>
      <c r="C39" s="431"/>
      <c r="D39" s="432"/>
      <c r="E39" s="15"/>
      <c r="F39" s="108"/>
      <c r="G39" s="33"/>
      <c r="H39" s="33"/>
      <c r="I39" s="33"/>
      <c r="J39" s="33"/>
      <c r="K39" s="82"/>
      <c r="L39" s="15"/>
      <c r="M39" s="193"/>
      <c r="N39" s="195"/>
      <c r="O39" s="31"/>
      <c r="P39" s="123"/>
      <c r="Q39" s="173"/>
      <c r="R39" s="173"/>
    </row>
    <row r="40" spans="1:18" ht="26.25" customHeight="1" thickBot="1">
      <c r="A40" s="29" t="s">
        <v>160</v>
      </c>
      <c r="B40" s="340" t="s">
        <v>152</v>
      </c>
      <c r="C40" s="341"/>
      <c r="D40" s="342"/>
      <c r="E40" s="82">
        <v>4500</v>
      </c>
      <c r="F40" s="108">
        <f>48000+E40</f>
        <v>52500</v>
      </c>
      <c r="G40" s="33">
        <f>G41+G42</f>
        <v>4949.610000000001</v>
      </c>
      <c r="H40" s="33"/>
      <c r="I40" s="33"/>
      <c r="J40" s="33"/>
      <c r="K40" s="15">
        <f>0+G40</f>
        <v>4949.610000000001</v>
      </c>
      <c r="L40" s="15">
        <f>L41+L42+L43</f>
        <v>50651.380000000005</v>
      </c>
      <c r="M40" s="119">
        <f aca="true" t="shared" si="2" ref="M40:N55">E40-K40</f>
        <v>-449.6100000000006</v>
      </c>
      <c r="N40" s="121">
        <f t="shared" si="2"/>
        <v>1848.6199999999953</v>
      </c>
      <c r="O40" s="31">
        <v>0</v>
      </c>
      <c r="P40" s="123">
        <v>0</v>
      </c>
      <c r="Q40" s="173"/>
      <c r="R40" s="173"/>
    </row>
    <row r="41" spans="1:18" ht="15.75" thickBot="1">
      <c r="A41" s="29" t="s">
        <v>40</v>
      </c>
      <c r="B41" s="427" t="s">
        <v>41</v>
      </c>
      <c r="C41" s="428"/>
      <c r="D41" s="429"/>
      <c r="E41" s="108">
        <v>2281</v>
      </c>
      <c r="F41" s="108">
        <f>22810+E41</f>
        <v>25091</v>
      </c>
      <c r="G41" s="33">
        <v>2730.61</v>
      </c>
      <c r="H41" s="33"/>
      <c r="I41" s="33"/>
      <c r="J41" s="33"/>
      <c r="K41" s="15">
        <f>0+G41</f>
        <v>2730.61</v>
      </c>
      <c r="L41" s="15">
        <f>23511.77+K41</f>
        <v>26242.38</v>
      </c>
      <c r="M41" s="119">
        <f t="shared" si="2"/>
        <v>-449.6100000000001</v>
      </c>
      <c r="N41" s="121">
        <f t="shared" si="2"/>
        <v>-1151.380000000001</v>
      </c>
      <c r="O41" s="31">
        <v>0</v>
      </c>
      <c r="P41" s="123">
        <v>0</v>
      </c>
      <c r="Q41" s="173"/>
      <c r="R41" s="173"/>
    </row>
    <row r="42" spans="1:18" ht="15.75" thickBot="1">
      <c r="A42" s="29" t="s">
        <v>42</v>
      </c>
      <c r="B42" s="427" t="s">
        <v>43</v>
      </c>
      <c r="C42" s="428"/>
      <c r="D42" s="429"/>
      <c r="E42" s="108">
        <v>2219</v>
      </c>
      <c r="F42" s="108">
        <f>22190+E42</f>
        <v>24409</v>
      </c>
      <c r="G42" s="33">
        <v>2219</v>
      </c>
      <c r="H42" s="33"/>
      <c r="I42" s="33"/>
      <c r="J42" s="33"/>
      <c r="K42" s="15">
        <f>0+G42</f>
        <v>2219</v>
      </c>
      <c r="L42" s="15">
        <f>22190+K42</f>
        <v>24409</v>
      </c>
      <c r="M42" s="119">
        <f t="shared" si="2"/>
        <v>0</v>
      </c>
      <c r="N42" s="121">
        <f t="shared" si="2"/>
        <v>0</v>
      </c>
      <c r="O42" s="31">
        <v>0</v>
      </c>
      <c r="P42" s="123">
        <v>0</v>
      </c>
      <c r="Q42" s="173"/>
      <c r="R42" s="173"/>
    </row>
    <row r="43" spans="1:18" ht="15.75" thickBot="1">
      <c r="A43" s="29" t="s">
        <v>44</v>
      </c>
      <c r="B43" s="427" t="s">
        <v>45</v>
      </c>
      <c r="C43" s="428"/>
      <c r="D43" s="429"/>
      <c r="E43" s="108"/>
      <c r="F43" s="108">
        <f>3000+E43</f>
        <v>3000</v>
      </c>
      <c r="G43" s="13"/>
      <c r="H43" s="13"/>
      <c r="I43" s="13"/>
      <c r="J43" s="33"/>
      <c r="K43" s="15">
        <f>0+J43</f>
        <v>0</v>
      </c>
      <c r="L43" s="15">
        <f>0+K43</f>
        <v>0</v>
      </c>
      <c r="M43" s="119">
        <f t="shared" si="2"/>
        <v>0</v>
      </c>
      <c r="N43" s="121">
        <f t="shared" si="2"/>
        <v>3000</v>
      </c>
      <c r="O43" s="31">
        <v>0</v>
      </c>
      <c r="P43" s="123">
        <v>0</v>
      </c>
      <c r="Q43" s="173"/>
      <c r="R43" s="18"/>
    </row>
    <row r="44" spans="1:18" ht="41.25" customHeight="1" thickBot="1">
      <c r="A44" s="22" t="s">
        <v>46</v>
      </c>
      <c r="B44" s="395" t="s">
        <v>47</v>
      </c>
      <c r="C44" s="396"/>
      <c r="D44" s="397"/>
      <c r="E44" s="81">
        <f>SUM(E47:E49)</f>
        <v>215000</v>
      </c>
      <c r="F44" s="114">
        <f>1577800+E44</f>
        <v>1792800</v>
      </c>
      <c r="G44" s="23">
        <f>G45+G46+G47</f>
        <v>234134</v>
      </c>
      <c r="H44" s="32"/>
      <c r="I44" s="32"/>
      <c r="J44" s="20"/>
      <c r="K44" s="23">
        <f>K45+K46+K47</f>
        <v>234134</v>
      </c>
      <c r="L44" s="23">
        <f>1489907.5+K44</f>
        <v>1724041.5</v>
      </c>
      <c r="M44" s="120">
        <f t="shared" si="2"/>
        <v>-19134</v>
      </c>
      <c r="N44" s="122">
        <f t="shared" si="2"/>
        <v>68758.5</v>
      </c>
      <c r="O44" s="26">
        <v>0</v>
      </c>
      <c r="P44" s="27">
        <v>0</v>
      </c>
      <c r="Q44" s="173"/>
      <c r="R44" s="173"/>
    </row>
    <row r="45" spans="1:18" ht="27.75" customHeight="1" thickBot="1">
      <c r="A45" s="29" t="s">
        <v>161</v>
      </c>
      <c r="B45" s="340" t="s">
        <v>152</v>
      </c>
      <c r="C45" s="341"/>
      <c r="D45" s="342"/>
      <c r="E45" s="112">
        <v>215000</v>
      </c>
      <c r="F45" s="108">
        <f>1577800+E45</f>
        <v>1792800</v>
      </c>
      <c r="G45" s="15">
        <f>G48+G49</f>
        <v>234134</v>
      </c>
      <c r="H45" s="13"/>
      <c r="I45" s="13"/>
      <c r="J45" s="33"/>
      <c r="K45" s="15">
        <f>0+G45</f>
        <v>234134</v>
      </c>
      <c r="L45" s="15">
        <f>L48+L49</f>
        <v>1724041.5</v>
      </c>
      <c r="M45" s="119">
        <f t="shared" si="2"/>
        <v>-19134</v>
      </c>
      <c r="N45" s="124">
        <f t="shared" si="2"/>
        <v>68758.5</v>
      </c>
      <c r="O45" s="31">
        <v>0</v>
      </c>
      <c r="P45" s="123">
        <v>0</v>
      </c>
      <c r="Q45" s="173"/>
      <c r="R45" s="173"/>
    </row>
    <row r="46" spans="1:18" ht="15.75" thickBot="1">
      <c r="A46" s="29" t="s">
        <v>162</v>
      </c>
      <c r="B46" s="430" t="s">
        <v>151</v>
      </c>
      <c r="C46" s="431"/>
      <c r="D46" s="432"/>
      <c r="E46" s="94"/>
      <c r="F46" s="108"/>
      <c r="G46" s="15"/>
      <c r="H46" s="13"/>
      <c r="I46" s="13"/>
      <c r="J46" s="33"/>
      <c r="K46" s="15">
        <f aca="true" t="shared" si="3" ref="K46:K53">0+G46</f>
        <v>0</v>
      </c>
      <c r="L46" s="15">
        <f>0+K46</f>
        <v>0</v>
      </c>
      <c r="M46" s="119">
        <f t="shared" si="2"/>
        <v>0</v>
      </c>
      <c r="N46" s="121">
        <f t="shared" si="2"/>
        <v>0</v>
      </c>
      <c r="O46" s="31">
        <v>0</v>
      </c>
      <c r="P46" s="123">
        <v>0</v>
      </c>
      <c r="Q46" s="173"/>
      <c r="R46" s="173"/>
    </row>
    <row r="47" spans="1:18" ht="15.75" thickBot="1">
      <c r="A47" s="29" t="s">
        <v>163</v>
      </c>
      <c r="B47" s="96" t="s">
        <v>154</v>
      </c>
      <c r="C47" s="97"/>
      <c r="D47" s="97"/>
      <c r="E47" s="126"/>
      <c r="F47" s="108"/>
      <c r="G47" s="15"/>
      <c r="H47" s="13"/>
      <c r="I47" s="13"/>
      <c r="J47" s="33"/>
      <c r="K47" s="15">
        <f t="shared" si="3"/>
        <v>0</v>
      </c>
      <c r="L47" s="15">
        <f>0+K47</f>
        <v>0</v>
      </c>
      <c r="M47" s="119">
        <f t="shared" si="2"/>
        <v>0</v>
      </c>
      <c r="N47" s="121">
        <f t="shared" si="2"/>
        <v>0</v>
      </c>
      <c r="O47" s="31">
        <v>0</v>
      </c>
      <c r="P47" s="123">
        <v>0</v>
      </c>
      <c r="Q47" s="173"/>
      <c r="R47" s="196"/>
    </row>
    <row r="48" spans="1:18" ht="31.5" customHeight="1" thickBot="1">
      <c r="A48" s="29" t="s">
        <v>48</v>
      </c>
      <c r="B48" s="359" t="s">
        <v>49</v>
      </c>
      <c r="C48" s="360"/>
      <c r="D48" s="361"/>
      <c r="E48" s="108">
        <v>215000</v>
      </c>
      <c r="F48" s="108">
        <f>1540000+E48</f>
        <v>1755000</v>
      </c>
      <c r="G48" s="13">
        <v>234134</v>
      </c>
      <c r="H48" s="13"/>
      <c r="I48" s="13"/>
      <c r="J48" s="33"/>
      <c r="K48" s="15">
        <f>0+G48</f>
        <v>234134</v>
      </c>
      <c r="L48" s="15">
        <f>1476248.5+K48</f>
        <v>1710382.5</v>
      </c>
      <c r="M48" s="119">
        <f t="shared" si="2"/>
        <v>-19134</v>
      </c>
      <c r="N48" s="121">
        <f t="shared" si="2"/>
        <v>44617.5</v>
      </c>
      <c r="O48" s="31">
        <v>0</v>
      </c>
      <c r="P48" s="123">
        <v>0</v>
      </c>
      <c r="Q48" s="173"/>
      <c r="R48" s="18"/>
    </row>
    <row r="49" spans="1:18" ht="30" customHeight="1" thickBot="1">
      <c r="A49" s="29" t="s">
        <v>50</v>
      </c>
      <c r="B49" s="359" t="s">
        <v>51</v>
      </c>
      <c r="C49" s="360"/>
      <c r="D49" s="361"/>
      <c r="E49" s="108"/>
      <c r="F49" s="108">
        <f>37800+E49</f>
        <v>37800</v>
      </c>
      <c r="G49" s="13"/>
      <c r="H49" s="13"/>
      <c r="I49" s="13"/>
      <c r="J49" s="33"/>
      <c r="K49" s="15">
        <f t="shared" si="3"/>
        <v>0</v>
      </c>
      <c r="L49" s="15">
        <f>13659+K49</f>
        <v>13659</v>
      </c>
      <c r="M49" s="119">
        <f t="shared" si="2"/>
        <v>0</v>
      </c>
      <c r="N49" s="121">
        <f t="shared" si="2"/>
        <v>24141</v>
      </c>
      <c r="O49" s="31">
        <v>0</v>
      </c>
      <c r="P49" s="123">
        <v>0</v>
      </c>
      <c r="Q49" s="173"/>
      <c r="R49" s="173"/>
    </row>
    <row r="50" spans="1:18" ht="15.75" thickBot="1">
      <c r="A50" s="29" t="s">
        <v>52</v>
      </c>
      <c r="B50" s="359" t="s">
        <v>53</v>
      </c>
      <c r="C50" s="360"/>
      <c r="D50" s="361"/>
      <c r="E50" s="13">
        <v>0</v>
      </c>
      <c r="F50" s="108">
        <f>0+E50</f>
        <v>0</v>
      </c>
      <c r="G50" s="13"/>
      <c r="H50" s="13"/>
      <c r="I50" s="13"/>
      <c r="J50" s="33"/>
      <c r="K50" s="15">
        <f t="shared" si="3"/>
        <v>0</v>
      </c>
      <c r="L50" s="15">
        <f aca="true" t="shared" si="4" ref="L50:L57">0+K50</f>
        <v>0</v>
      </c>
      <c r="M50" s="119">
        <f t="shared" si="2"/>
        <v>0</v>
      </c>
      <c r="N50" s="121">
        <f t="shared" si="2"/>
        <v>0</v>
      </c>
      <c r="O50" s="31">
        <v>0</v>
      </c>
      <c r="P50" s="123">
        <v>0</v>
      </c>
      <c r="Q50" s="173"/>
      <c r="R50" s="173"/>
    </row>
    <row r="51" spans="1:18" ht="33.75" customHeight="1" thickBot="1">
      <c r="A51" s="22" t="s">
        <v>54</v>
      </c>
      <c r="B51" s="425" t="s">
        <v>55</v>
      </c>
      <c r="C51" s="323"/>
      <c r="D51" s="324"/>
      <c r="E51" s="23">
        <v>0</v>
      </c>
      <c r="F51" s="23">
        <v>0</v>
      </c>
      <c r="G51" s="23"/>
      <c r="H51" s="23"/>
      <c r="I51" s="23"/>
      <c r="J51" s="20"/>
      <c r="K51" s="23">
        <f t="shared" si="3"/>
        <v>0</v>
      </c>
      <c r="L51" s="23">
        <f t="shared" si="4"/>
        <v>0</v>
      </c>
      <c r="M51" s="120">
        <f t="shared" si="2"/>
        <v>0</v>
      </c>
      <c r="N51" s="122">
        <f t="shared" si="2"/>
        <v>0</v>
      </c>
      <c r="O51" s="26">
        <v>0</v>
      </c>
      <c r="P51" s="27">
        <v>0</v>
      </c>
      <c r="Q51" s="173"/>
      <c r="R51" s="173"/>
    </row>
    <row r="52" spans="1:18" ht="25.5" customHeight="1" thickBot="1">
      <c r="A52" s="29" t="s">
        <v>164</v>
      </c>
      <c r="B52" s="340" t="s">
        <v>152</v>
      </c>
      <c r="C52" s="341"/>
      <c r="D52" s="342"/>
      <c r="E52" s="15"/>
      <c r="F52" s="15"/>
      <c r="G52" s="15"/>
      <c r="H52" s="15"/>
      <c r="I52" s="15"/>
      <c r="J52" s="33"/>
      <c r="K52" s="15">
        <f t="shared" si="3"/>
        <v>0</v>
      </c>
      <c r="L52" s="15">
        <f t="shared" si="4"/>
        <v>0</v>
      </c>
      <c r="M52" s="119">
        <f t="shared" si="2"/>
        <v>0</v>
      </c>
      <c r="N52" s="121">
        <f t="shared" si="2"/>
        <v>0</v>
      </c>
      <c r="O52" s="31">
        <v>0</v>
      </c>
      <c r="P52" s="123">
        <v>0</v>
      </c>
      <c r="Q52" s="173"/>
      <c r="R52" s="173"/>
    </row>
    <row r="53" spans="1:18" ht="18.75" customHeight="1" thickBot="1">
      <c r="A53" s="29" t="s">
        <v>165</v>
      </c>
      <c r="B53" s="96" t="s">
        <v>154</v>
      </c>
      <c r="C53" s="97"/>
      <c r="D53" s="97"/>
      <c r="E53" s="15"/>
      <c r="F53" s="15"/>
      <c r="G53" s="15"/>
      <c r="H53" s="15"/>
      <c r="I53" s="15"/>
      <c r="J53" s="33"/>
      <c r="K53" s="15">
        <f t="shared" si="3"/>
        <v>0</v>
      </c>
      <c r="L53" s="15">
        <f t="shared" si="4"/>
        <v>0</v>
      </c>
      <c r="M53" s="119">
        <f t="shared" si="2"/>
        <v>0</v>
      </c>
      <c r="N53" s="121">
        <f t="shared" si="2"/>
        <v>0</v>
      </c>
      <c r="O53" s="31">
        <v>0</v>
      </c>
      <c r="P53" s="123">
        <v>0</v>
      </c>
      <c r="Q53" s="173"/>
      <c r="R53" s="173"/>
    </row>
    <row r="54" spans="1:18" ht="46.5" customHeight="1" thickBot="1">
      <c r="A54" s="22" t="s">
        <v>56</v>
      </c>
      <c r="B54" s="395" t="s">
        <v>57</v>
      </c>
      <c r="C54" s="396"/>
      <c r="D54" s="397"/>
      <c r="E54" s="81">
        <f>SUM(E59:E63)</f>
        <v>251000</v>
      </c>
      <c r="F54" s="114">
        <f>F55+F58</f>
        <v>1671500</v>
      </c>
      <c r="G54" s="23">
        <f>G55+G56+G57+G58</f>
        <v>151953.56</v>
      </c>
      <c r="H54" s="23"/>
      <c r="I54" s="23"/>
      <c r="J54" s="23">
        <f>J55+J56+J57+J58</f>
        <v>0</v>
      </c>
      <c r="K54" s="23">
        <f>K55+K56+K57</f>
        <v>151953.56</v>
      </c>
      <c r="L54" s="23">
        <f>L55+L56+L57+L58</f>
        <v>1543988.83</v>
      </c>
      <c r="M54" s="120">
        <f t="shared" si="2"/>
        <v>99046.44</v>
      </c>
      <c r="N54" s="125">
        <f t="shared" si="2"/>
        <v>127511.16999999993</v>
      </c>
      <c r="O54" s="26">
        <v>0</v>
      </c>
      <c r="P54" s="27">
        <v>0</v>
      </c>
      <c r="Q54" s="173"/>
      <c r="R54" s="18">
        <f>F59+F60+F62+F63-F58</f>
        <v>1588900</v>
      </c>
    </row>
    <row r="55" spans="1:18" ht="30.75" customHeight="1" thickBot="1">
      <c r="A55" s="29" t="s">
        <v>166</v>
      </c>
      <c r="B55" s="340" t="s">
        <v>152</v>
      </c>
      <c r="C55" s="341"/>
      <c r="D55" s="342"/>
      <c r="E55" s="113">
        <f>E59+E60+E62+E63-E58</f>
        <v>240000</v>
      </c>
      <c r="F55" s="108">
        <f>1348900+E55</f>
        <v>1588900</v>
      </c>
      <c r="G55" s="15">
        <f>G59+G60+G62+G63</f>
        <v>151953.56</v>
      </c>
      <c r="H55" s="15"/>
      <c r="I55" s="15"/>
      <c r="J55" s="15"/>
      <c r="K55" s="15">
        <f>0+G55</f>
        <v>151953.56</v>
      </c>
      <c r="L55" s="15">
        <f>1281440.56+K55</f>
        <v>1433394.12</v>
      </c>
      <c r="M55" s="119">
        <f t="shared" si="2"/>
        <v>88046.44</v>
      </c>
      <c r="N55" s="121">
        <f t="shared" si="2"/>
        <v>155505.8799999999</v>
      </c>
      <c r="O55" s="31">
        <v>0</v>
      </c>
      <c r="P55" s="123">
        <v>0</v>
      </c>
      <c r="Q55" s="173"/>
      <c r="R55" s="18"/>
    </row>
    <row r="56" spans="1:18" ht="30.75" customHeight="1" thickBot="1">
      <c r="A56" s="29" t="s">
        <v>167</v>
      </c>
      <c r="B56" s="430" t="s">
        <v>168</v>
      </c>
      <c r="C56" s="431"/>
      <c r="D56" s="432"/>
      <c r="E56" s="112"/>
      <c r="F56" s="108"/>
      <c r="G56" s="15"/>
      <c r="H56" s="15"/>
      <c r="I56" s="15"/>
      <c r="J56" s="15"/>
      <c r="K56" s="15">
        <f aca="true" t="shared" si="5" ref="K56:K61">0+G56</f>
        <v>0</v>
      </c>
      <c r="L56" s="15">
        <f t="shared" si="4"/>
        <v>0</v>
      </c>
      <c r="M56" s="119">
        <f aca="true" t="shared" si="6" ref="M56:N71">E56-K56</f>
        <v>0</v>
      </c>
      <c r="N56" s="121">
        <f t="shared" si="6"/>
        <v>0</v>
      </c>
      <c r="O56" s="31">
        <v>0</v>
      </c>
      <c r="P56" s="123">
        <v>0</v>
      </c>
      <c r="Q56" s="173"/>
      <c r="R56" s="18"/>
    </row>
    <row r="57" spans="1:18" ht="18.75" customHeight="1" thickBot="1">
      <c r="A57" s="29" t="s">
        <v>203</v>
      </c>
      <c r="B57" s="503" t="s">
        <v>154</v>
      </c>
      <c r="C57" s="504"/>
      <c r="D57" s="504"/>
      <c r="E57" s="127"/>
      <c r="F57" s="108"/>
      <c r="G57" s="15"/>
      <c r="H57" s="15"/>
      <c r="I57" s="15"/>
      <c r="J57" s="15"/>
      <c r="K57" s="15">
        <f t="shared" si="5"/>
        <v>0</v>
      </c>
      <c r="L57" s="15">
        <f t="shared" si="4"/>
        <v>0</v>
      </c>
      <c r="M57" s="119">
        <f t="shared" si="6"/>
        <v>0</v>
      </c>
      <c r="N57" s="121">
        <f t="shared" si="6"/>
        <v>0</v>
      </c>
      <c r="O57" s="31">
        <v>0</v>
      </c>
      <c r="P57" s="123">
        <v>0</v>
      </c>
      <c r="Q57" s="173"/>
      <c r="R57" s="18">
        <f>L59+L60+L61+L62+L63</f>
        <v>1543988.82</v>
      </c>
    </row>
    <row r="58" spans="1:18" ht="22.5" customHeight="1" thickBot="1">
      <c r="A58" s="29" t="s">
        <v>204</v>
      </c>
      <c r="B58" s="497" t="s">
        <v>201</v>
      </c>
      <c r="C58" s="498"/>
      <c r="D58" s="499"/>
      <c r="E58" s="112">
        <v>11000</v>
      </c>
      <c r="F58" s="108">
        <f>71600+E58</f>
        <v>82600</v>
      </c>
      <c r="G58" s="15"/>
      <c r="H58" s="15"/>
      <c r="I58" s="15"/>
      <c r="J58" s="15">
        <f>J62+J63+J59</f>
        <v>0</v>
      </c>
      <c r="K58" s="15">
        <f>0+J58</f>
        <v>0</v>
      </c>
      <c r="L58" s="15">
        <f>110594.71+K58</f>
        <v>110594.71</v>
      </c>
      <c r="M58" s="119">
        <f t="shared" si="6"/>
        <v>11000</v>
      </c>
      <c r="N58" s="121">
        <f t="shared" si="6"/>
        <v>-27994.710000000006</v>
      </c>
      <c r="O58" s="31">
        <v>0</v>
      </c>
      <c r="P58" s="123">
        <v>0</v>
      </c>
      <c r="Q58" s="173"/>
      <c r="R58" s="18">
        <f>F59+F60+F62+F63</f>
        <v>1671500</v>
      </c>
    </row>
    <row r="59" spans="1:18" ht="28.5" customHeight="1" thickBot="1">
      <c r="A59" s="29" t="s">
        <v>58</v>
      </c>
      <c r="B59" s="419" t="s">
        <v>236</v>
      </c>
      <c r="C59" s="420"/>
      <c r="D59" s="421"/>
      <c r="E59" s="108">
        <v>60000</v>
      </c>
      <c r="F59" s="108">
        <f>465000+E59</f>
        <v>525000</v>
      </c>
      <c r="G59" s="13">
        <v>44241</v>
      </c>
      <c r="H59" s="13"/>
      <c r="I59" s="13"/>
      <c r="J59" s="15"/>
      <c r="K59" s="15">
        <f>J59+G59</f>
        <v>44241</v>
      </c>
      <c r="L59" s="15">
        <f>395265.8+K59</f>
        <v>439506.8</v>
      </c>
      <c r="M59" s="119">
        <f t="shared" si="6"/>
        <v>15759</v>
      </c>
      <c r="N59" s="121">
        <f t="shared" si="6"/>
        <v>85493.20000000001</v>
      </c>
      <c r="O59" s="31">
        <v>0</v>
      </c>
      <c r="P59" s="123">
        <v>0</v>
      </c>
      <c r="Q59" s="173"/>
      <c r="R59" s="196"/>
    </row>
    <row r="60" spans="1:18" ht="21.75" customHeight="1" thickBot="1">
      <c r="A60" s="29" t="s">
        <v>60</v>
      </c>
      <c r="B60" s="387" t="s">
        <v>61</v>
      </c>
      <c r="C60" s="388"/>
      <c r="D60" s="388"/>
      <c r="E60" s="108">
        <v>180000</v>
      </c>
      <c r="F60" s="108">
        <f>862000+E60</f>
        <v>1042000</v>
      </c>
      <c r="G60" s="13">
        <v>95704.63</v>
      </c>
      <c r="H60" s="13"/>
      <c r="I60" s="13"/>
      <c r="J60" s="15"/>
      <c r="K60" s="15">
        <f>0+G60</f>
        <v>95704.63</v>
      </c>
      <c r="L60" s="15">
        <f>904749.95+K60</f>
        <v>1000454.58</v>
      </c>
      <c r="M60" s="119">
        <f t="shared" si="6"/>
        <v>84295.37</v>
      </c>
      <c r="N60" s="121">
        <f t="shared" si="6"/>
        <v>41545.42000000004</v>
      </c>
      <c r="O60" s="31">
        <v>0</v>
      </c>
      <c r="P60" s="123">
        <v>0</v>
      </c>
      <c r="Q60" s="173"/>
      <c r="R60" s="18"/>
    </row>
    <row r="61" spans="1:18" ht="24.75" customHeight="1" thickBot="1">
      <c r="A61" s="29" t="s">
        <v>60</v>
      </c>
      <c r="B61" s="422" t="s">
        <v>205</v>
      </c>
      <c r="C61" s="423"/>
      <c r="D61" s="424"/>
      <c r="E61" s="108"/>
      <c r="F61" s="108"/>
      <c r="G61" s="13"/>
      <c r="H61" s="13"/>
      <c r="I61" s="13"/>
      <c r="J61" s="15"/>
      <c r="K61" s="15">
        <f t="shared" si="5"/>
        <v>0</v>
      </c>
      <c r="L61" s="15">
        <f>0+K61</f>
        <v>0</v>
      </c>
      <c r="M61" s="119">
        <f t="shared" si="6"/>
        <v>0</v>
      </c>
      <c r="N61" s="121">
        <f t="shared" si="6"/>
        <v>0</v>
      </c>
      <c r="O61" s="31">
        <v>0</v>
      </c>
      <c r="P61" s="123">
        <v>0</v>
      </c>
      <c r="Q61" s="173"/>
      <c r="R61" s="173"/>
    </row>
    <row r="62" spans="1:18" ht="18" customHeight="1" thickBot="1">
      <c r="A62" s="29" t="s">
        <v>62</v>
      </c>
      <c r="B62" s="387" t="s">
        <v>63</v>
      </c>
      <c r="C62" s="388"/>
      <c r="D62" s="389"/>
      <c r="E62" s="108">
        <v>5900</v>
      </c>
      <c r="F62" s="108">
        <f>49600+E62</f>
        <v>55500</v>
      </c>
      <c r="G62" s="215">
        <v>6412.57</v>
      </c>
      <c r="H62" s="60"/>
      <c r="I62" s="13"/>
      <c r="J62" s="13"/>
      <c r="K62" s="15">
        <f>0+J62+G62</f>
        <v>6412.57</v>
      </c>
      <c r="L62" s="15">
        <f>50234.53+K62</f>
        <v>56647.1</v>
      </c>
      <c r="M62" s="119">
        <f t="shared" si="6"/>
        <v>-512.5699999999997</v>
      </c>
      <c r="N62" s="121">
        <f t="shared" si="6"/>
        <v>-1147.0999999999985</v>
      </c>
      <c r="O62" s="31">
        <v>0</v>
      </c>
      <c r="P62" s="123">
        <v>0</v>
      </c>
      <c r="Q62" s="173"/>
      <c r="R62" s="173"/>
    </row>
    <row r="63" spans="1:18" ht="31.5" customHeight="1" thickBot="1">
      <c r="A63" s="29" t="s">
        <v>64</v>
      </c>
      <c r="B63" s="387" t="s">
        <v>65</v>
      </c>
      <c r="C63" s="388"/>
      <c r="D63" s="389"/>
      <c r="E63" s="108">
        <v>5100</v>
      </c>
      <c r="F63" s="108">
        <f>43900+E63</f>
        <v>49000</v>
      </c>
      <c r="G63" s="216">
        <v>5595.36</v>
      </c>
      <c r="H63" s="13"/>
      <c r="I63" s="13"/>
      <c r="J63" s="13"/>
      <c r="K63" s="15">
        <f>0+J63+G63</f>
        <v>5595.36</v>
      </c>
      <c r="L63" s="15">
        <f>41784.98+K63</f>
        <v>47380.340000000004</v>
      </c>
      <c r="M63" s="119">
        <f t="shared" si="6"/>
        <v>-495.3599999999997</v>
      </c>
      <c r="N63" s="121">
        <f t="shared" si="6"/>
        <v>1619.6599999999962</v>
      </c>
      <c r="O63" s="31">
        <v>0</v>
      </c>
      <c r="P63" s="123">
        <v>0</v>
      </c>
      <c r="Q63" s="173"/>
      <c r="R63" s="173"/>
    </row>
    <row r="64" spans="1:18" ht="33.75" customHeight="1" thickBot="1">
      <c r="A64" s="56" t="s">
        <v>66</v>
      </c>
      <c r="B64" s="585" t="s">
        <v>228</v>
      </c>
      <c r="C64" s="586"/>
      <c r="D64" s="587"/>
      <c r="E64" s="81">
        <f>E65</f>
        <v>0</v>
      </c>
      <c r="F64" s="114">
        <f>F65+F66</f>
        <v>339000</v>
      </c>
      <c r="G64" s="32">
        <f>G65+G66</f>
        <v>0</v>
      </c>
      <c r="H64" s="23"/>
      <c r="I64" s="23">
        <f>I66</f>
        <v>0</v>
      </c>
      <c r="J64" s="23">
        <f>J65+J66</f>
        <v>0</v>
      </c>
      <c r="K64" s="23">
        <f>K65+K66</f>
        <v>0</v>
      </c>
      <c r="L64" s="23">
        <f>L65+L66</f>
        <v>316888</v>
      </c>
      <c r="M64" s="120">
        <f t="shared" si="6"/>
        <v>0</v>
      </c>
      <c r="N64" s="125">
        <f t="shared" si="6"/>
        <v>22112</v>
      </c>
      <c r="O64" s="26">
        <v>0</v>
      </c>
      <c r="P64" s="27">
        <v>0</v>
      </c>
      <c r="Q64" s="173"/>
      <c r="R64" s="173"/>
    </row>
    <row r="65" spans="1:18" ht="30.75" customHeight="1" thickBot="1">
      <c r="A65" s="29" t="s">
        <v>207</v>
      </c>
      <c r="B65" s="340" t="s">
        <v>152</v>
      </c>
      <c r="C65" s="341"/>
      <c r="D65" s="342"/>
      <c r="E65" s="82">
        <v>0</v>
      </c>
      <c r="F65" s="108">
        <f>339000+E65</f>
        <v>339000</v>
      </c>
      <c r="G65" s="13"/>
      <c r="H65" s="15"/>
      <c r="I65" s="15"/>
      <c r="J65" s="15"/>
      <c r="K65" s="15">
        <f>0+G65</f>
        <v>0</v>
      </c>
      <c r="L65" s="15">
        <f>300088+K65</f>
        <v>300088</v>
      </c>
      <c r="M65" s="119">
        <f t="shared" si="6"/>
        <v>0</v>
      </c>
      <c r="N65" s="124">
        <f t="shared" si="6"/>
        <v>38912</v>
      </c>
      <c r="O65" s="31">
        <v>0</v>
      </c>
      <c r="P65" s="123">
        <v>0</v>
      </c>
      <c r="Q65" s="173"/>
      <c r="R65" s="173"/>
    </row>
    <row r="66" spans="1:18" ht="28.5" customHeight="1" thickBot="1">
      <c r="A66" s="29" t="s">
        <v>208</v>
      </c>
      <c r="B66" s="340" t="s">
        <v>171</v>
      </c>
      <c r="C66" s="341"/>
      <c r="D66" s="342"/>
      <c r="E66" s="82"/>
      <c r="F66" s="108"/>
      <c r="G66" s="13"/>
      <c r="H66" s="15"/>
      <c r="I66" s="15"/>
      <c r="J66" s="15"/>
      <c r="K66" s="15">
        <f>0+I66</f>
        <v>0</v>
      </c>
      <c r="L66" s="15">
        <f>16800+K66</f>
        <v>16800</v>
      </c>
      <c r="M66" s="119">
        <f t="shared" si="6"/>
        <v>0</v>
      </c>
      <c r="N66" s="124">
        <f t="shared" si="6"/>
        <v>-16800</v>
      </c>
      <c r="O66" s="31">
        <v>0</v>
      </c>
      <c r="P66" s="123">
        <v>0</v>
      </c>
      <c r="Q66" s="173"/>
      <c r="R66" s="173"/>
    </row>
    <row r="67" spans="1:18" ht="33" customHeight="1" thickBot="1">
      <c r="A67" s="128" t="s">
        <v>67</v>
      </c>
      <c r="B67" s="588" t="s">
        <v>226</v>
      </c>
      <c r="C67" s="589"/>
      <c r="D67" s="590"/>
      <c r="E67" s="81">
        <f>E68</f>
        <v>0</v>
      </c>
      <c r="F67" s="114">
        <f>125000+E67</f>
        <v>125000</v>
      </c>
      <c r="G67" s="32">
        <f>G68+G69</f>
        <v>0</v>
      </c>
      <c r="H67" s="23"/>
      <c r="I67" s="23"/>
      <c r="J67" s="23"/>
      <c r="K67" s="23">
        <f>K68+K69+K70</f>
        <v>0</v>
      </c>
      <c r="L67" s="23">
        <f>26070+K67</f>
        <v>26070</v>
      </c>
      <c r="M67" s="120">
        <f t="shared" si="6"/>
        <v>0</v>
      </c>
      <c r="N67" s="125">
        <f t="shared" si="6"/>
        <v>98930</v>
      </c>
      <c r="O67" s="26">
        <v>0</v>
      </c>
      <c r="P67" s="27">
        <v>0</v>
      </c>
      <c r="Q67" s="173"/>
      <c r="R67" s="18"/>
    </row>
    <row r="68" spans="1:18" ht="30" customHeight="1" thickBot="1">
      <c r="A68" s="29" t="s">
        <v>169</v>
      </c>
      <c r="B68" s="340" t="s">
        <v>152</v>
      </c>
      <c r="C68" s="341"/>
      <c r="D68" s="342"/>
      <c r="E68" s="112">
        <v>0</v>
      </c>
      <c r="F68" s="108">
        <f>125000+E68</f>
        <v>125000</v>
      </c>
      <c r="G68" s="13"/>
      <c r="H68" s="15"/>
      <c r="I68" s="15"/>
      <c r="J68" s="15"/>
      <c r="K68" s="15">
        <f>G68</f>
        <v>0</v>
      </c>
      <c r="L68" s="15">
        <f>26070+K68</f>
        <v>26070</v>
      </c>
      <c r="M68" s="119">
        <f t="shared" si="6"/>
        <v>0</v>
      </c>
      <c r="N68" s="124">
        <f t="shared" si="6"/>
        <v>98930</v>
      </c>
      <c r="O68" s="31">
        <v>0</v>
      </c>
      <c r="P68" s="123">
        <v>0</v>
      </c>
      <c r="Q68" s="173"/>
      <c r="R68" s="18"/>
    </row>
    <row r="69" spans="1:18" ht="28.5" customHeight="1" thickBot="1">
      <c r="A69" s="29" t="s">
        <v>170</v>
      </c>
      <c r="B69" s="340" t="s">
        <v>171</v>
      </c>
      <c r="C69" s="341"/>
      <c r="D69" s="342"/>
      <c r="E69" s="112"/>
      <c r="F69" s="108"/>
      <c r="G69" s="13"/>
      <c r="H69" s="15"/>
      <c r="I69" s="15"/>
      <c r="J69" s="15"/>
      <c r="K69" s="15">
        <f>G69</f>
        <v>0</v>
      </c>
      <c r="L69" s="15">
        <f>0+K69</f>
        <v>0</v>
      </c>
      <c r="M69" s="119">
        <f t="shared" si="6"/>
        <v>0</v>
      </c>
      <c r="N69" s="124">
        <f t="shared" si="6"/>
        <v>0</v>
      </c>
      <c r="O69" s="31">
        <v>0</v>
      </c>
      <c r="P69" s="123">
        <v>0</v>
      </c>
      <c r="Q69" s="173"/>
      <c r="R69" s="18"/>
    </row>
    <row r="70" spans="1:18" ht="18" customHeight="1" thickBot="1">
      <c r="A70" s="29" t="s">
        <v>172</v>
      </c>
      <c r="B70" s="340" t="s">
        <v>154</v>
      </c>
      <c r="C70" s="341"/>
      <c r="D70" s="342"/>
      <c r="E70" s="113"/>
      <c r="F70" s="108"/>
      <c r="G70" s="13"/>
      <c r="H70" s="15"/>
      <c r="I70" s="15"/>
      <c r="J70" s="15"/>
      <c r="K70" s="15">
        <f>0+J70</f>
        <v>0</v>
      </c>
      <c r="L70" s="15">
        <f>0+K70</f>
        <v>0</v>
      </c>
      <c r="M70" s="119">
        <f t="shared" si="6"/>
        <v>0</v>
      </c>
      <c r="N70" s="124">
        <f t="shared" si="6"/>
        <v>0</v>
      </c>
      <c r="O70" s="31">
        <v>0</v>
      </c>
      <c r="P70" s="123">
        <v>0</v>
      </c>
      <c r="Q70" s="173"/>
      <c r="R70" s="18"/>
    </row>
    <row r="71" spans="1:18" ht="21" customHeight="1" thickBot="1">
      <c r="A71" s="30" t="s">
        <v>69</v>
      </c>
      <c r="B71" s="508" t="s">
        <v>227</v>
      </c>
      <c r="C71" s="509"/>
      <c r="D71" s="510"/>
      <c r="E71" s="81">
        <f>E72+E73</f>
        <v>3000</v>
      </c>
      <c r="F71" s="114">
        <f>24000+E71</f>
        <v>27000</v>
      </c>
      <c r="G71" s="32">
        <f>G72+G73</f>
        <v>0</v>
      </c>
      <c r="H71" s="23"/>
      <c r="I71" s="23"/>
      <c r="J71" s="23"/>
      <c r="K71" s="23">
        <f>G71</f>
        <v>0</v>
      </c>
      <c r="L71" s="23">
        <f>L72</f>
        <v>46112.62</v>
      </c>
      <c r="M71" s="120">
        <f t="shared" si="6"/>
        <v>3000</v>
      </c>
      <c r="N71" s="125">
        <f t="shared" si="6"/>
        <v>-19112.620000000003</v>
      </c>
      <c r="O71" s="26">
        <v>0</v>
      </c>
      <c r="P71" s="27">
        <v>0</v>
      </c>
      <c r="Q71" s="173"/>
      <c r="R71" s="173"/>
    </row>
    <row r="72" spans="1:18" ht="27" customHeight="1" thickBot="1">
      <c r="A72" s="29" t="s">
        <v>169</v>
      </c>
      <c r="B72" s="340" t="s">
        <v>152</v>
      </c>
      <c r="C72" s="341"/>
      <c r="D72" s="342"/>
      <c r="E72" s="112">
        <v>3000</v>
      </c>
      <c r="F72" s="108">
        <f>24000+E72</f>
        <v>27000</v>
      </c>
      <c r="G72" s="13"/>
      <c r="H72" s="15"/>
      <c r="I72" s="15"/>
      <c r="J72" s="15"/>
      <c r="K72" s="15">
        <f>G72</f>
        <v>0</v>
      </c>
      <c r="L72" s="15">
        <f>46112.62+K72</f>
        <v>46112.62</v>
      </c>
      <c r="M72" s="119">
        <f aca="true" t="shared" si="7" ref="M72:N82">E72-K72</f>
        <v>3000</v>
      </c>
      <c r="N72" s="124">
        <f t="shared" si="7"/>
        <v>-19112.620000000003</v>
      </c>
      <c r="O72" s="31">
        <v>0</v>
      </c>
      <c r="P72" s="123">
        <v>0</v>
      </c>
      <c r="Q72" s="173"/>
      <c r="R72" s="173"/>
    </row>
    <row r="73" spans="1:18" ht="19.5" customHeight="1" thickBot="1">
      <c r="A73" s="29" t="s">
        <v>172</v>
      </c>
      <c r="B73" s="340" t="s">
        <v>154</v>
      </c>
      <c r="C73" s="341"/>
      <c r="D73" s="342"/>
      <c r="E73" s="113"/>
      <c r="F73" s="108"/>
      <c r="G73" s="13"/>
      <c r="H73" s="15"/>
      <c r="I73" s="15"/>
      <c r="J73" s="15"/>
      <c r="K73" s="15">
        <f>0+J73</f>
        <v>0</v>
      </c>
      <c r="L73" s="15">
        <f>0+K73</f>
        <v>0</v>
      </c>
      <c r="M73" s="119">
        <f t="shared" si="7"/>
        <v>0</v>
      </c>
      <c r="N73" s="124">
        <f t="shared" si="7"/>
        <v>0</v>
      </c>
      <c r="O73" s="31">
        <v>0</v>
      </c>
      <c r="P73" s="123">
        <v>0</v>
      </c>
      <c r="Q73" s="173"/>
      <c r="R73" s="173"/>
    </row>
    <row r="74" spans="1:18" ht="33.75" customHeight="1" thickBot="1">
      <c r="A74" s="30" t="s">
        <v>71</v>
      </c>
      <c r="B74" s="508" t="s">
        <v>72</v>
      </c>
      <c r="C74" s="509"/>
      <c r="D74" s="510"/>
      <c r="E74" s="81">
        <f>E75</f>
        <v>7000</v>
      </c>
      <c r="F74" s="114">
        <f>180000+E74</f>
        <v>187000</v>
      </c>
      <c r="G74" s="32">
        <f>G75+G76+G77</f>
        <v>18577</v>
      </c>
      <c r="H74" s="23"/>
      <c r="I74" s="23">
        <f>I75+I76</f>
        <v>0</v>
      </c>
      <c r="J74" s="23"/>
      <c r="K74" s="23">
        <f>K75+K76+K77</f>
        <v>18577</v>
      </c>
      <c r="L74" s="23">
        <f>L75+L76+L77</f>
        <v>293722.22</v>
      </c>
      <c r="M74" s="120">
        <f t="shared" si="7"/>
        <v>-11577</v>
      </c>
      <c r="N74" s="125">
        <f t="shared" si="7"/>
        <v>-106722.21999999997</v>
      </c>
      <c r="O74" s="26">
        <v>0</v>
      </c>
      <c r="P74" s="27">
        <v>0</v>
      </c>
      <c r="Q74" s="173"/>
      <c r="R74" s="173"/>
    </row>
    <row r="75" spans="1:18" ht="28.5" customHeight="1" thickBot="1">
      <c r="A75" s="29" t="s">
        <v>173</v>
      </c>
      <c r="B75" s="340" t="s">
        <v>152</v>
      </c>
      <c r="C75" s="341"/>
      <c r="D75" s="342"/>
      <c r="E75" s="112">
        <v>7000</v>
      </c>
      <c r="F75" s="108">
        <f>221500+E75</f>
        <v>228500</v>
      </c>
      <c r="G75" s="13">
        <v>18577</v>
      </c>
      <c r="H75" s="15"/>
      <c r="I75" s="15"/>
      <c r="J75" s="15"/>
      <c r="K75" s="15">
        <f>G75</f>
        <v>18577</v>
      </c>
      <c r="L75" s="15">
        <f>257145.22+K75</f>
        <v>275722.22</v>
      </c>
      <c r="M75" s="119">
        <f t="shared" si="7"/>
        <v>-11577</v>
      </c>
      <c r="N75" s="124">
        <f t="shared" si="7"/>
        <v>-47222.21999999997</v>
      </c>
      <c r="O75" s="31">
        <v>0</v>
      </c>
      <c r="P75" s="123">
        <v>0</v>
      </c>
      <c r="Q75" s="173"/>
      <c r="R75" s="173"/>
    </row>
    <row r="76" spans="1:18" ht="27.75" customHeight="1" thickBot="1">
      <c r="A76" s="29" t="s">
        <v>174</v>
      </c>
      <c r="B76" s="340" t="s">
        <v>171</v>
      </c>
      <c r="C76" s="341"/>
      <c r="D76" s="342"/>
      <c r="E76" s="113"/>
      <c r="F76" s="108"/>
      <c r="G76" s="13"/>
      <c r="H76" s="15"/>
      <c r="I76" s="15"/>
      <c r="J76" s="15"/>
      <c r="K76" s="15">
        <f>I76</f>
        <v>0</v>
      </c>
      <c r="L76" s="15">
        <f>18000+K76</f>
        <v>18000</v>
      </c>
      <c r="M76" s="119">
        <f t="shared" si="7"/>
        <v>0</v>
      </c>
      <c r="N76" s="124">
        <f t="shared" si="7"/>
        <v>-18000</v>
      </c>
      <c r="O76" s="31">
        <v>0</v>
      </c>
      <c r="P76" s="123">
        <v>0</v>
      </c>
      <c r="Q76" s="173"/>
      <c r="R76" s="173"/>
    </row>
    <row r="77" spans="1:18" ht="17.25" customHeight="1" thickBot="1">
      <c r="A77" s="29" t="s">
        <v>175</v>
      </c>
      <c r="B77" s="96" t="s">
        <v>154</v>
      </c>
      <c r="C77" s="97"/>
      <c r="D77" s="98"/>
      <c r="E77" s="112"/>
      <c r="F77" s="108"/>
      <c r="G77" s="13"/>
      <c r="H77" s="15"/>
      <c r="I77" s="15"/>
      <c r="J77" s="15"/>
      <c r="K77" s="15">
        <f aca="true" t="shared" si="8" ref="K77:K82">0+J77</f>
        <v>0</v>
      </c>
      <c r="L77" s="15">
        <f>0+K77</f>
        <v>0</v>
      </c>
      <c r="M77" s="119">
        <f t="shared" si="7"/>
        <v>0</v>
      </c>
      <c r="N77" s="124">
        <f t="shared" si="7"/>
        <v>0</v>
      </c>
      <c r="O77" s="31">
        <v>0</v>
      </c>
      <c r="P77" s="123">
        <v>0</v>
      </c>
      <c r="Q77" s="173"/>
      <c r="R77" s="173"/>
    </row>
    <row r="78" spans="1:18" ht="44.25" customHeight="1" thickBot="1">
      <c r="A78" s="128" t="s">
        <v>73</v>
      </c>
      <c r="B78" s="395" t="s">
        <v>74</v>
      </c>
      <c r="C78" s="396"/>
      <c r="D78" s="397"/>
      <c r="E78" s="81">
        <f>E79</f>
        <v>0</v>
      </c>
      <c r="F78" s="114">
        <f>F79</f>
        <v>3000</v>
      </c>
      <c r="G78" s="32">
        <f>G79</f>
        <v>1635</v>
      </c>
      <c r="H78" s="23"/>
      <c r="I78" s="23"/>
      <c r="J78" s="23"/>
      <c r="K78" s="23">
        <f>0+J78+G78</f>
        <v>1635</v>
      </c>
      <c r="L78" s="23">
        <f>L79</f>
        <v>3408</v>
      </c>
      <c r="M78" s="120">
        <f t="shared" si="7"/>
        <v>-1635</v>
      </c>
      <c r="N78" s="125">
        <f t="shared" si="7"/>
        <v>-408</v>
      </c>
      <c r="O78" s="26">
        <v>0</v>
      </c>
      <c r="P78" s="27">
        <v>0</v>
      </c>
      <c r="Q78" s="173"/>
      <c r="R78" s="173"/>
    </row>
    <row r="79" spans="1:18" ht="30" customHeight="1" thickBot="1">
      <c r="A79" s="29" t="s">
        <v>176</v>
      </c>
      <c r="B79" s="340" t="s">
        <v>152</v>
      </c>
      <c r="C79" s="341"/>
      <c r="D79" s="342"/>
      <c r="E79" s="113"/>
      <c r="F79" s="108">
        <f>3000+E79</f>
        <v>3000</v>
      </c>
      <c r="G79" s="13">
        <v>1635</v>
      </c>
      <c r="H79" s="15"/>
      <c r="I79" s="15"/>
      <c r="J79" s="15"/>
      <c r="K79" s="15">
        <f>0+J79+G79</f>
        <v>1635</v>
      </c>
      <c r="L79" s="15">
        <f>1773+K79</f>
        <v>3408</v>
      </c>
      <c r="M79" s="119">
        <f>E79-K79</f>
        <v>-1635</v>
      </c>
      <c r="N79" s="124">
        <f t="shared" si="7"/>
        <v>-408</v>
      </c>
      <c r="O79" s="31">
        <v>0</v>
      </c>
      <c r="P79" s="123">
        <v>0</v>
      </c>
      <c r="Q79" s="173"/>
      <c r="R79" s="173"/>
    </row>
    <row r="80" spans="1:18" ht="18" customHeight="1" thickBot="1">
      <c r="A80" s="128" t="s">
        <v>75</v>
      </c>
      <c r="B80" s="395" t="s">
        <v>76</v>
      </c>
      <c r="C80" s="396"/>
      <c r="D80" s="397"/>
      <c r="E80" s="81">
        <f>E81</f>
        <v>0</v>
      </c>
      <c r="F80" s="114">
        <f>F81</f>
        <v>37000</v>
      </c>
      <c r="G80" s="32"/>
      <c r="H80" s="23"/>
      <c r="I80" s="23"/>
      <c r="J80" s="23"/>
      <c r="K80" s="23">
        <f t="shared" si="8"/>
        <v>0</v>
      </c>
      <c r="L80" s="23">
        <f>0+K80</f>
        <v>0</v>
      </c>
      <c r="M80" s="120">
        <f t="shared" si="7"/>
        <v>0</v>
      </c>
      <c r="N80" s="125">
        <f t="shared" si="7"/>
        <v>37000</v>
      </c>
      <c r="O80" s="26">
        <v>0</v>
      </c>
      <c r="P80" s="27">
        <v>0</v>
      </c>
      <c r="Q80" s="173"/>
      <c r="R80" s="173"/>
    </row>
    <row r="81" spans="1:18" ht="30.75" customHeight="1" thickBot="1">
      <c r="A81" s="29" t="s">
        <v>177</v>
      </c>
      <c r="B81" s="340" t="s">
        <v>152</v>
      </c>
      <c r="C81" s="341"/>
      <c r="D81" s="342"/>
      <c r="E81" s="113"/>
      <c r="F81" s="108">
        <f>37000+E81</f>
        <v>37000</v>
      </c>
      <c r="G81" s="198"/>
      <c r="H81" s="199"/>
      <c r="I81" s="93"/>
      <c r="J81" s="199"/>
      <c r="K81" s="15">
        <f t="shared" si="8"/>
        <v>0</v>
      </c>
      <c r="L81" s="15">
        <f>0+K81</f>
        <v>0</v>
      </c>
      <c r="M81" s="119">
        <f t="shared" si="7"/>
        <v>0</v>
      </c>
      <c r="N81" s="124">
        <f t="shared" si="7"/>
        <v>37000</v>
      </c>
      <c r="O81" s="31">
        <v>0</v>
      </c>
      <c r="P81" s="123">
        <v>0</v>
      </c>
      <c r="Q81" s="173"/>
      <c r="R81" s="173"/>
    </row>
    <row r="82" spans="1:18" ht="21.75" customHeight="1" thickBot="1">
      <c r="A82" s="29" t="s">
        <v>178</v>
      </c>
      <c r="B82" s="96" t="s">
        <v>154</v>
      </c>
      <c r="C82" s="97"/>
      <c r="D82" s="98"/>
      <c r="E82" s="113"/>
      <c r="F82" s="15"/>
      <c r="G82" s="13"/>
      <c r="H82" s="200"/>
      <c r="I82" s="15"/>
      <c r="J82" s="200"/>
      <c r="K82" s="15">
        <f t="shared" si="8"/>
        <v>0</v>
      </c>
      <c r="L82" s="15"/>
      <c r="M82" s="119">
        <f t="shared" si="7"/>
        <v>0</v>
      </c>
      <c r="N82" s="124">
        <f t="shared" si="7"/>
        <v>0</v>
      </c>
      <c r="O82" s="31">
        <v>0</v>
      </c>
      <c r="P82" s="123">
        <v>0</v>
      </c>
      <c r="Q82" s="173"/>
      <c r="R82" s="173"/>
    </row>
    <row r="83" spans="1:18" ht="15" customHeight="1" thickBot="1">
      <c r="A83" s="398"/>
      <c r="B83" s="591" t="s">
        <v>30</v>
      </c>
      <c r="C83" s="592"/>
      <c r="D83" s="592"/>
      <c r="E83" s="592"/>
      <c r="F83" s="592"/>
      <c r="G83" s="592"/>
      <c r="H83" s="592"/>
      <c r="I83" s="592"/>
      <c r="J83" s="592"/>
      <c r="K83" s="592"/>
      <c r="L83" s="592"/>
      <c r="M83" s="592"/>
      <c r="N83" s="592"/>
      <c r="O83" s="592"/>
      <c r="P83" s="593"/>
      <c r="Q83" s="173"/>
      <c r="R83" s="173"/>
    </row>
    <row r="84" spans="1:18" ht="15.75" hidden="1" thickBot="1">
      <c r="A84" s="399"/>
      <c r="B84" s="594"/>
      <c r="C84" s="595"/>
      <c r="D84" s="595"/>
      <c r="E84" s="595"/>
      <c r="F84" s="595"/>
      <c r="G84" s="595"/>
      <c r="H84" s="595"/>
      <c r="I84" s="595"/>
      <c r="J84" s="595"/>
      <c r="K84" s="595"/>
      <c r="L84" s="595"/>
      <c r="M84" s="595"/>
      <c r="N84" s="595"/>
      <c r="O84" s="595"/>
      <c r="P84" s="596"/>
      <c r="Q84" s="173"/>
      <c r="R84" s="173"/>
    </row>
    <row r="85" spans="1:18" ht="15.75" thickBot="1">
      <c r="A85" s="398"/>
      <c r="B85" s="550" t="s">
        <v>14</v>
      </c>
      <c r="C85" s="551"/>
      <c r="D85" s="552"/>
      <c r="E85" s="581" t="s">
        <v>24</v>
      </c>
      <c r="F85" s="583" t="s">
        <v>25</v>
      </c>
      <c r="G85" s="532" t="s">
        <v>31</v>
      </c>
      <c r="H85" s="522"/>
      <c r="I85" s="522"/>
      <c r="J85" s="522"/>
      <c r="K85" s="533"/>
      <c r="L85" s="534" t="s">
        <v>16</v>
      </c>
      <c r="M85" s="534" t="s">
        <v>17</v>
      </c>
      <c r="N85" s="534" t="s">
        <v>18</v>
      </c>
      <c r="O85" s="534" t="s">
        <v>19</v>
      </c>
      <c r="P85" s="534" t="s">
        <v>20</v>
      </c>
      <c r="Q85" s="173"/>
      <c r="R85" s="173"/>
    </row>
    <row r="86" spans="1:18" ht="57" customHeight="1" thickBot="1">
      <c r="A86" s="399"/>
      <c r="B86" s="553"/>
      <c r="C86" s="554"/>
      <c r="D86" s="555"/>
      <c r="E86" s="582"/>
      <c r="F86" s="584"/>
      <c r="G86" s="301" t="s">
        <v>32</v>
      </c>
      <c r="H86" s="301" t="s">
        <v>33</v>
      </c>
      <c r="I86" s="301" t="s">
        <v>34</v>
      </c>
      <c r="J86" s="175" t="s">
        <v>77</v>
      </c>
      <c r="K86" s="176" t="s">
        <v>27</v>
      </c>
      <c r="L86" s="535"/>
      <c r="M86" s="535"/>
      <c r="N86" s="535"/>
      <c r="O86" s="535"/>
      <c r="P86" s="535"/>
      <c r="Q86" s="173"/>
      <c r="R86" s="173"/>
    </row>
    <row r="87" spans="1:18" ht="15.75" thickBot="1">
      <c r="A87" s="29"/>
      <c r="B87" s="536">
        <v>1</v>
      </c>
      <c r="C87" s="537"/>
      <c r="D87" s="538"/>
      <c r="E87" s="180" t="s">
        <v>22</v>
      </c>
      <c r="F87" s="301">
        <v>3</v>
      </c>
      <c r="G87" s="301">
        <v>4</v>
      </c>
      <c r="H87" s="301">
        <v>5</v>
      </c>
      <c r="I87" s="175">
        <v>6</v>
      </c>
      <c r="J87" s="175">
        <v>7</v>
      </c>
      <c r="K87" s="192">
        <v>8</v>
      </c>
      <c r="L87" s="305">
        <v>9</v>
      </c>
      <c r="M87" s="175">
        <v>10</v>
      </c>
      <c r="N87" s="305">
        <v>11</v>
      </c>
      <c r="O87" s="175">
        <v>12</v>
      </c>
      <c r="P87" s="305">
        <v>13</v>
      </c>
      <c r="Q87" s="173"/>
      <c r="R87" s="173"/>
    </row>
    <row r="88" spans="1:18" ht="42" customHeight="1" thickBot="1">
      <c r="A88" s="22" t="s">
        <v>78</v>
      </c>
      <c r="B88" s="395" t="s">
        <v>79</v>
      </c>
      <c r="C88" s="396"/>
      <c r="D88" s="397"/>
      <c r="E88" s="81">
        <f>E89</f>
        <v>27555</v>
      </c>
      <c r="F88" s="114">
        <f>269550+E88</f>
        <v>297105</v>
      </c>
      <c r="G88" s="81">
        <f>G89+G90+G91+G92</f>
        <v>5760.53</v>
      </c>
      <c r="H88" s="23"/>
      <c r="I88" s="23">
        <f>I89+I90+I91</f>
        <v>0</v>
      </c>
      <c r="J88" s="23"/>
      <c r="K88" s="83">
        <f>K89+K90+K91+K92</f>
        <v>5760.53</v>
      </c>
      <c r="L88" s="23">
        <f>288469.94+K88</f>
        <v>294230.47000000003</v>
      </c>
      <c r="M88" s="120">
        <f aca="true" t="shared" si="9" ref="M88:N103">E88-K88</f>
        <v>21794.47</v>
      </c>
      <c r="N88" s="125">
        <f t="shared" si="9"/>
        <v>2874.5299999999697</v>
      </c>
      <c r="O88" s="26">
        <v>0</v>
      </c>
      <c r="P88" s="27">
        <v>0</v>
      </c>
      <c r="Q88" s="18"/>
      <c r="R88" s="173"/>
    </row>
    <row r="89" spans="1:18" ht="28.5" customHeight="1" thickBot="1">
      <c r="A89" s="29" t="s">
        <v>179</v>
      </c>
      <c r="B89" s="340" t="s">
        <v>152</v>
      </c>
      <c r="C89" s="341"/>
      <c r="D89" s="342"/>
      <c r="E89" s="112">
        <f>E93+E94+E96+E97+E98+E100+E99+E95</f>
        <v>27555</v>
      </c>
      <c r="F89" s="108">
        <f>269550+E89</f>
        <v>297105</v>
      </c>
      <c r="G89" s="82">
        <f>G93+G94+G96+G97+G98+G99+G100</f>
        <v>5760.53</v>
      </c>
      <c r="H89" s="15"/>
      <c r="I89" s="15"/>
      <c r="J89" s="15"/>
      <c r="K89" s="84">
        <f>G89</f>
        <v>5760.53</v>
      </c>
      <c r="L89" s="15">
        <f>L93+L94+L96+L97+L98+L99+L100+L95</f>
        <v>294230.47</v>
      </c>
      <c r="M89" s="119">
        <f t="shared" si="9"/>
        <v>21794.47</v>
      </c>
      <c r="N89" s="124">
        <f t="shared" si="9"/>
        <v>2874.530000000028</v>
      </c>
      <c r="O89" s="31">
        <v>0</v>
      </c>
      <c r="P89" s="123">
        <v>0</v>
      </c>
      <c r="Q89" s="18"/>
      <c r="R89" s="173"/>
    </row>
    <row r="90" spans="1:18" ht="19.5" customHeight="1" thickBot="1">
      <c r="A90" s="29" t="s">
        <v>180</v>
      </c>
      <c r="B90" s="390" t="s">
        <v>151</v>
      </c>
      <c r="C90" s="391"/>
      <c r="D90" s="392"/>
      <c r="E90" s="112"/>
      <c r="F90" s="108"/>
      <c r="G90" s="82"/>
      <c r="H90" s="15"/>
      <c r="I90" s="15"/>
      <c r="J90" s="15"/>
      <c r="K90" s="84">
        <f aca="true" t="shared" si="10" ref="K90:K99">G90</f>
        <v>0</v>
      </c>
      <c r="L90" s="15"/>
      <c r="M90" s="119">
        <f t="shared" si="9"/>
        <v>0</v>
      </c>
      <c r="N90" s="124">
        <f t="shared" si="9"/>
        <v>0</v>
      </c>
      <c r="O90" s="31">
        <v>0</v>
      </c>
      <c r="P90" s="123">
        <v>0</v>
      </c>
      <c r="Q90" s="18"/>
      <c r="R90" s="173"/>
    </row>
    <row r="91" spans="1:18" ht="30" customHeight="1" thickBot="1">
      <c r="A91" s="29" t="s">
        <v>181</v>
      </c>
      <c r="B91" s="340" t="s">
        <v>171</v>
      </c>
      <c r="C91" s="341"/>
      <c r="D91" s="342"/>
      <c r="E91" s="112"/>
      <c r="F91" s="108"/>
      <c r="G91" s="82"/>
      <c r="H91" s="15"/>
      <c r="I91" s="15">
        <f>I97</f>
        <v>0</v>
      </c>
      <c r="J91" s="15"/>
      <c r="K91" s="84">
        <f>I91</f>
        <v>0</v>
      </c>
      <c r="L91" s="15">
        <f>0+K91</f>
        <v>0</v>
      </c>
      <c r="M91" s="119">
        <f t="shared" si="9"/>
        <v>0</v>
      </c>
      <c r="N91" s="124">
        <f t="shared" si="9"/>
        <v>0</v>
      </c>
      <c r="O91" s="31">
        <v>0</v>
      </c>
      <c r="P91" s="123">
        <v>0</v>
      </c>
      <c r="Q91" s="18"/>
      <c r="R91" s="173"/>
    </row>
    <row r="92" spans="1:18" ht="18" customHeight="1" thickBot="1">
      <c r="A92" s="29" t="s">
        <v>182</v>
      </c>
      <c r="B92" s="340" t="s">
        <v>154</v>
      </c>
      <c r="C92" s="341"/>
      <c r="D92" s="342"/>
      <c r="E92" s="112"/>
      <c r="F92" s="108"/>
      <c r="G92" s="82"/>
      <c r="H92" s="15"/>
      <c r="I92" s="15"/>
      <c r="J92" s="15"/>
      <c r="K92" s="84">
        <f t="shared" si="10"/>
        <v>0</v>
      </c>
      <c r="L92" s="15">
        <f>0+K92</f>
        <v>0</v>
      </c>
      <c r="M92" s="119">
        <f t="shared" si="9"/>
        <v>0</v>
      </c>
      <c r="N92" s="124">
        <f t="shared" si="9"/>
        <v>0</v>
      </c>
      <c r="O92" s="31">
        <v>0</v>
      </c>
      <c r="P92" s="123">
        <v>0</v>
      </c>
      <c r="Q92" s="18"/>
      <c r="R92" s="196">
        <f>L93+L94+L95+L96+L97+L98+L99+L100</f>
        <v>294230.47</v>
      </c>
    </row>
    <row r="93" spans="1:18" ht="15.75" thickBot="1">
      <c r="A93" s="29" t="s">
        <v>80</v>
      </c>
      <c r="B93" s="359" t="s">
        <v>81</v>
      </c>
      <c r="C93" s="360"/>
      <c r="D93" s="361"/>
      <c r="E93" s="108">
        <v>3000</v>
      </c>
      <c r="F93" s="108">
        <f>30000+E93</f>
        <v>33000</v>
      </c>
      <c r="G93" s="82"/>
      <c r="H93" s="13"/>
      <c r="I93" s="13"/>
      <c r="J93" s="13"/>
      <c r="K93" s="84">
        <f t="shared" si="10"/>
        <v>0</v>
      </c>
      <c r="L93" s="15">
        <f>27000+K93</f>
        <v>27000</v>
      </c>
      <c r="M93" s="119">
        <f t="shared" si="9"/>
        <v>3000</v>
      </c>
      <c r="N93" s="124">
        <f t="shared" si="9"/>
        <v>6000</v>
      </c>
      <c r="O93" s="31">
        <v>0</v>
      </c>
      <c r="P93" s="123">
        <v>0</v>
      </c>
      <c r="Q93" s="173"/>
      <c r="R93" s="18">
        <f>L89+L90+L91+L92</f>
        <v>294230.47</v>
      </c>
    </row>
    <row r="94" spans="1:18" ht="15.75" thickBot="1">
      <c r="A94" s="29" t="s">
        <v>82</v>
      </c>
      <c r="B94" s="387" t="s">
        <v>209</v>
      </c>
      <c r="C94" s="388"/>
      <c r="D94" s="389"/>
      <c r="E94" s="108">
        <v>4400</v>
      </c>
      <c r="F94" s="108">
        <f>44000+E94</f>
        <v>48400</v>
      </c>
      <c r="G94" s="82"/>
      <c r="H94" s="13"/>
      <c r="I94" s="13"/>
      <c r="J94" s="13"/>
      <c r="K94" s="84">
        <f>G94</f>
        <v>0</v>
      </c>
      <c r="L94" s="15">
        <f>26400+K94</f>
        <v>26400</v>
      </c>
      <c r="M94" s="119">
        <f t="shared" si="9"/>
        <v>4400</v>
      </c>
      <c r="N94" s="124">
        <f t="shared" si="9"/>
        <v>22000</v>
      </c>
      <c r="O94" s="31">
        <v>0</v>
      </c>
      <c r="P94" s="123">
        <v>0</v>
      </c>
      <c r="Q94" s="173"/>
      <c r="R94" s="173"/>
    </row>
    <row r="95" spans="1:18" ht="15.75" thickBot="1">
      <c r="A95" s="29" t="s">
        <v>83</v>
      </c>
      <c r="B95" s="359" t="s">
        <v>231</v>
      </c>
      <c r="C95" s="360"/>
      <c r="D95" s="361"/>
      <c r="E95" s="108"/>
      <c r="F95" s="108">
        <f>0+E95</f>
        <v>0</v>
      </c>
      <c r="G95" s="82"/>
      <c r="H95" s="13"/>
      <c r="I95" s="13"/>
      <c r="J95" s="13"/>
      <c r="K95" s="84">
        <f t="shared" si="10"/>
        <v>0</v>
      </c>
      <c r="L95" s="15">
        <f>77795+K95</f>
        <v>77795</v>
      </c>
      <c r="M95" s="119">
        <f t="shared" si="9"/>
        <v>0</v>
      </c>
      <c r="N95" s="124">
        <f t="shared" si="9"/>
        <v>-77795</v>
      </c>
      <c r="O95" s="31">
        <v>0</v>
      </c>
      <c r="P95" s="123">
        <v>0</v>
      </c>
      <c r="Q95" s="173"/>
      <c r="R95" s="173"/>
    </row>
    <row r="96" spans="1:18" ht="15.75" thickBot="1">
      <c r="A96" s="29" t="s">
        <v>85</v>
      </c>
      <c r="B96" s="359" t="s">
        <v>86</v>
      </c>
      <c r="C96" s="360"/>
      <c r="D96" s="361"/>
      <c r="E96" s="108">
        <v>1355</v>
      </c>
      <c r="F96" s="108">
        <f>13550+E96</f>
        <v>14905</v>
      </c>
      <c r="G96" s="82"/>
      <c r="H96" s="13"/>
      <c r="I96" s="13"/>
      <c r="J96" s="13"/>
      <c r="K96" s="84">
        <f t="shared" si="10"/>
        <v>0</v>
      </c>
      <c r="L96" s="15">
        <f>10155+K96</f>
        <v>10155</v>
      </c>
      <c r="M96" s="119">
        <f t="shared" si="9"/>
        <v>1355</v>
      </c>
      <c r="N96" s="124">
        <f t="shared" si="9"/>
        <v>4750</v>
      </c>
      <c r="O96" s="31">
        <v>0</v>
      </c>
      <c r="P96" s="123">
        <v>0</v>
      </c>
      <c r="Q96" s="173"/>
      <c r="R96" s="173"/>
    </row>
    <row r="97" spans="1:18" ht="15.75" thickBot="1">
      <c r="A97" s="29" t="s">
        <v>87</v>
      </c>
      <c r="B97" s="359" t="s">
        <v>88</v>
      </c>
      <c r="C97" s="360"/>
      <c r="D97" s="361"/>
      <c r="E97" s="108">
        <v>7500</v>
      </c>
      <c r="F97" s="108">
        <f>69000+E97</f>
        <v>76500</v>
      </c>
      <c r="G97" s="82">
        <v>5760.53</v>
      </c>
      <c r="H97" s="13"/>
      <c r="I97" s="13"/>
      <c r="J97" s="13"/>
      <c r="K97" s="84">
        <f>G97+I97</f>
        <v>5760.53</v>
      </c>
      <c r="L97" s="15">
        <f>54501.62+K97</f>
        <v>60262.15</v>
      </c>
      <c r="M97" s="119">
        <f t="shared" si="9"/>
        <v>1739.4700000000003</v>
      </c>
      <c r="N97" s="124">
        <f t="shared" si="9"/>
        <v>16237.849999999999</v>
      </c>
      <c r="O97" s="31">
        <v>0</v>
      </c>
      <c r="P97" s="123">
        <v>0</v>
      </c>
      <c r="Q97" s="173"/>
      <c r="R97" s="248">
        <f>F93+F94+F95+F96+F97+F98+F99+F100</f>
        <v>297105</v>
      </c>
    </row>
    <row r="98" spans="1:16" ht="15.75" thickBot="1">
      <c r="A98" s="29" t="s">
        <v>89</v>
      </c>
      <c r="B98" s="359" t="s">
        <v>90</v>
      </c>
      <c r="C98" s="360"/>
      <c r="D98" s="361"/>
      <c r="E98" s="108">
        <v>1500</v>
      </c>
      <c r="F98" s="108">
        <f>15000+E98</f>
        <v>16500</v>
      </c>
      <c r="G98" s="82"/>
      <c r="H98" s="13"/>
      <c r="I98" s="13"/>
      <c r="J98" s="13"/>
      <c r="K98" s="84">
        <f t="shared" si="10"/>
        <v>0</v>
      </c>
      <c r="L98" s="15">
        <f>23676+K98</f>
        <v>23676</v>
      </c>
      <c r="M98" s="119">
        <f t="shared" si="9"/>
        <v>1500</v>
      </c>
      <c r="N98" s="124">
        <f t="shared" si="9"/>
        <v>-7176</v>
      </c>
      <c r="O98" s="31">
        <v>0</v>
      </c>
      <c r="P98" s="123">
        <v>0</v>
      </c>
    </row>
    <row r="99" spans="1:16" ht="15.75" thickBot="1">
      <c r="A99" s="29" t="s">
        <v>91</v>
      </c>
      <c r="B99" s="359" t="s">
        <v>92</v>
      </c>
      <c r="C99" s="360"/>
      <c r="D99" s="361"/>
      <c r="E99" s="108">
        <v>0</v>
      </c>
      <c r="F99" s="108">
        <f>0+E99</f>
        <v>0</v>
      </c>
      <c r="G99" s="82"/>
      <c r="H99" s="13"/>
      <c r="I99" s="13"/>
      <c r="J99" s="13"/>
      <c r="K99" s="84">
        <f t="shared" si="10"/>
        <v>0</v>
      </c>
      <c r="L99" s="15">
        <f>0+K99</f>
        <v>0</v>
      </c>
      <c r="M99" s="119">
        <f t="shared" si="9"/>
        <v>0</v>
      </c>
      <c r="N99" s="124">
        <f t="shared" si="9"/>
        <v>0</v>
      </c>
      <c r="O99" s="31">
        <v>0</v>
      </c>
      <c r="P99" s="123">
        <v>0</v>
      </c>
    </row>
    <row r="100" spans="1:16" ht="15.75" thickBot="1">
      <c r="A100" s="29" t="s">
        <v>93</v>
      </c>
      <c r="B100" s="359" t="s">
        <v>94</v>
      </c>
      <c r="C100" s="360"/>
      <c r="D100" s="361"/>
      <c r="E100" s="108">
        <v>9800</v>
      </c>
      <c r="F100" s="108">
        <f>98000+E100</f>
        <v>107800</v>
      </c>
      <c r="G100" s="82"/>
      <c r="H100" s="13"/>
      <c r="I100" s="13"/>
      <c r="J100" s="13"/>
      <c r="K100" s="84">
        <f>G100</f>
        <v>0</v>
      </c>
      <c r="L100" s="15">
        <f>68942.32+K100</f>
        <v>68942.32</v>
      </c>
      <c r="M100" s="119">
        <f t="shared" si="9"/>
        <v>9800</v>
      </c>
      <c r="N100" s="124">
        <f t="shared" si="9"/>
        <v>38857.67999999999</v>
      </c>
      <c r="O100" s="31">
        <v>0</v>
      </c>
      <c r="P100" s="123">
        <v>0</v>
      </c>
    </row>
    <row r="101" spans="1:18" ht="38.25" customHeight="1" thickBot="1">
      <c r="A101" s="56" t="s">
        <v>95</v>
      </c>
      <c r="B101" s="425" t="s">
        <v>96</v>
      </c>
      <c r="C101" s="323"/>
      <c r="D101" s="324"/>
      <c r="E101" s="114">
        <f>E102+E103</f>
        <v>14251</v>
      </c>
      <c r="F101" s="114">
        <f>822704+E101</f>
        <v>836955</v>
      </c>
      <c r="G101" s="114">
        <f>G102+G104+G105</f>
        <v>10182.91</v>
      </c>
      <c r="H101" s="32">
        <f>H103</f>
        <v>0</v>
      </c>
      <c r="I101" s="23">
        <f>I104</f>
        <v>8149</v>
      </c>
      <c r="J101" s="23"/>
      <c r="K101" s="114">
        <f>G101+H101+I101+J101</f>
        <v>18331.91</v>
      </c>
      <c r="L101" s="23">
        <f>L102+L103+L104+L105</f>
        <v>642372.77</v>
      </c>
      <c r="M101" s="120">
        <f t="shared" si="9"/>
        <v>-4080.91</v>
      </c>
      <c r="N101" s="125">
        <f t="shared" si="9"/>
        <v>194582.22999999998</v>
      </c>
      <c r="O101" s="26">
        <v>0</v>
      </c>
      <c r="P101" s="27">
        <v>0</v>
      </c>
      <c r="R101" s="197">
        <f>L102+L104-L101</f>
        <v>-153006.00000000006</v>
      </c>
    </row>
    <row r="102" spans="1:18" ht="31.5" customHeight="1" thickBot="1">
      <c r="A102" s="29" t="s">
        <v>183</v>
      </c>
      <c r="B102" s="340" t="s">
        <v>152</v>
      </c>
      <c r="C102" s="341"/>
      <c r="D102" s="342"/>
      <c r="E102" s="112">
        <f>E106+E107+E114+E119+E131+E113+E128+E115+E120</f>
        <v>1500</v>
      </c>
      <c r="F102" s="108">
        <f>695200+E102</f>
        <v>696700</v>
      </c>
      <c r="G102" s="13">
        <f>G106+G107+G108+G109+G110+G111+G112+G113+G114+G115+G116+G117+G118+G119+G126+G127+G128+G129+G130+G131</f>
        <v>10182.91</v>
      </c>
      <c r="H102" s="13"/>
      <c r="I102" s="15"/>
      <c r="J102" s="15"/>
      <c r="K102" s="84">
        <f>G102</f>
        <v>10182.91</v>
      </c>
      <c r="L102" s="15">
        <f>357984.86+K102</f>
        <v>368167.76999999996</v>
      </c>
      <c r="M102" s="119">
        <f t="shared" si="9"/>
        <v>-8682.91</v>
      </c>
      <c r="N102" s="124">
        <f t="shared" si="9"/>
        <v>328532.23000000004</v>
      </c>
      <c r="O102" s="31">
        <v>0</v>
      </c>
      <c r="P102" s="123">
        <v>0</v>
      </c>
      <c r="R102" s="197"/>
    </row>
    <row r="103" spans="1:18" ht="20.25" customHeight="1" thickBot="1">
      <c r="A103" s="29" t="s">
        <v>184</v>
      </c>
      <c r="B103" s="390" t="s">
        <v>151</v>
      </c>
      <c r="C103" s="391"/>
      <c r="D103" s="392"/>
      <c r="E103" s="112">
        <f>E129</f>
        <v>12751</v>
      </c>
      <c r="F103" s="108">
        <f>127504+E103</f>
        <v>140255</v>
      </c>
      <c r="G103" s="13"/>
      <c r="H103" s="13">
        <f>H129</f>
        <v>0</v>
      </c>
      <c r="I103" s="15"/>
      <c r="J103" s="15"/>
      <c r="K103" s="84">
        <f>H103</f>
        <v>0</v>
      </c>
      <c r="L103" s="15">
        <f>153006+K103</f>
        <v>153006</v>
      </c>
      <c r="M103" s="119">
        <f t="shared" si="9"/>
        <v>12751</v>
      </c>
      <c r="N103" s="124">
        <f t="shared" si="9"/>
        <v>-12751</v>
      </c>
      <c r="O103" s="31">
        <v>0</v>
      </c>
      <c r="P103" s="123">
        <v>0</v>
      </c>
      <c r="R103" s="201"/>
    </row>
    <row r="104" spans="1:16" ht="33" customHeight="1" thickBot="1">
      <c r="A104" s="29" t="s">
        <v>185</v>
      </c>
      <c r="B104" s="340" t="s">
        <v>171</v>
      </c>
      <c r="C104" s="341"/>
      <c r="D104" s="342"/>
      <c r="E104" s="112"/>
      <c r="F104" s="108"/>
      <c r="G104" s="108"/>
      <c r="H104" s="13"/>
      <c r="I104" s="15">
        <f>I128+I117+I131</f>
        <v>8149</v>
      </c>
      <c r="J104" s="15"/>
      <c r="K104" s="84">
        <f>I104</f>
        <v>8149</v>
      </c>
      <c r="L104" s="15">
        <f>113050+K104</f>
        <v>121199</v>
      </c>
      <c r="M104" s="119">
        <f aca="true" t="shared" si="11" ref="M104:N120">E104-K104</f>
        <v>-8149</v>
      </c>
      <c r="N104" s="124">
        <f t="shared" si="11"/>
        <v>-121199</v>
      </c>
      <c r="O104" s="31">
        <v>0</v>
      </c>
      <c r="P104" s="123">
        <v>0</v>
      </c>
    </row>
    <row r="105" spans="1:18" ht="24.75" customHeight="1" thickBot="1">
      <c r="A105" s="29" t="s">
        <v>186</v>
      </c>
      <c r="B105" s="390" t="s">
        <v>154</v>
      </c>
      <c r="C105" s="391"/>
      <c r="D105" s="392"/>
      <c r="E105" s="112"/>
      <c r="F105" s="108"/>
      <c r="G105" s="13"/>
      <c r="H105" s="13"/>
      <c r="I105" s="15"/>
      <c r="J105" s="15"/>
      <c r="K105" s="84">
        <f>G105</f>
        <v>0</v>
      </c>
      <c r="L105" s="15">
        <f>0+K105</f>
        <v>0</v>
      </c>
      <c r="M105" s="119">
        <f t="shared" si="11"/>
        <v>0</v>
      </c>
      <c r="N105" s="124">
        <f t="shared" si="11"/>
        <v>0</v>
      </c>
      <c r="O105" s="31">
        <v>0</v>
      </c>
      <c r="P105" s="123">
        <v>0</v>
      </c>
      <c r="R105" s="197">
        <f>L106+L113+L114+L118+L119+L131</f>
        <v>173022.35</v>
      </c>
    </row>
    <row r="106" spans="1:16" ht="26.25" customHeight="1" thickBot="1">
      <c r="A106" s="29" t="s">
        <v>97</v>
      </c>
      <c r="B106" s="511" t="s">
        <v>98</v>
      </c>
      <c r="C106" s="512"/>
      <c r="D106" s="513"/>
      <c r="E106" s="108"/>
      <c r="F106" s="108">
        <f>32600+E106</f>
        <v>32600</v>
      </c>
      <c r="G106" s="13"/>
      <c r="H106" s="13"/>
      <c r="I106" s="13"/>
      <c r="J106" s="13"/>
      <c r="K106" s="84">
        <f aca="true" t="shared" si="12" ref="K106:K120">G106</f>
        <v>0</v>
      </c>
      <c r="L106" s="15">
        <f>39800+K106</f>
        <v>39800</v>
      </c>
      <c r="M106" s="119">
        <f t="shared" si="11"/>
        <v>0</v>
      </c>
      <c r="N106" s="124">
        <f t="shared" si="11"/>
        <v>-7200</v>
      </c>
      <c r="O106" s="31">
        <v>0</v>
      </c>
      <c r="P106" s="123">
        <v>0</v>
      </c>
    </row>
    <row r="107" spans="1:16" ht="27.75" customHeight="1" thickBot="1">
      <c r="A107" s="29" t="s">
        <v>99</v>
      </c>
      <c r="B107" s="359" t="s">
        <v>100</v>
      </c>
      <c r="C107" s="360"/>
      <c r="D107" s="361"/>
      <c r="E107" s="108"/>
      <c r="F107" s="108">
        <f>15000+E107</f>
        <v>15000</v>
      </c>
      <c r="G107" s="13"/>
      <c r="H107" s="13"/>
      <c r="I107" s="13"/>
      <c r="J107" s="13"/>
      <c r="K107" s="84">
        <f t="shared" si="12"/>
        <v>0</v>
      </c>
      <c r="L107" s="15">
        <f>0+K107</f>
        <v>0</v>
      </c>
      <c r="M107" s="119">
        <f t="shared" si="11"/>
        <v>0</v>
      </c>
      <c r="N107" s="124">
        <f t="shared" si="11"/>
        <v>15000</v>
      </c>
      <c r="O107" s="31">
        <v>0</v>
      </c>
      <c r="P107" s="123">
        <v>0</v>
      </c>
    </row>
    <row r="108" spans="1:16" ht="34.5" customHeight="1" thickBot="1">
      <c r="A108" s="29" t="s">
        <v>101</v>
      </c>
      <c r="B108" s="384" t="s">
        <v>102</v>
      </c>
      <c r="C108" s="385"/>
      <c r="D108" s="386"/>
      <c r="E108" s="108"/>
      <c r="F108" s="108"/>
      <c r="G108" s="13"/>
      <c r="H108" s="13"/>
      <c r="I108" s="13"/>
      <c r="J108" s="13"/>
      <c r="K108" s="84">
        <f t="shared" si="12"/>
        <v>0</v>
      </c>
      <c r="L108" s="15">
        <f>0+K108</f>
        <v>0</v>
      </c>
      <c r="M108" s="119">
        <f t="shared" si="11"/>
        <v>0</v>
      </c>
      <c r="N108" s="124">
        <f t="shared" si="11"/>
        <v>0</v>
      </c>
      <c r="O108" s="31">
        <v>0</v>
      </c>
      <c r="P108" s="123">
        <v>0</v>
      </c>
    </row>
    <row r="109" spans="1:16" ht="23.25" customHeight="1" thickBot="1">
      <c r="A109" s="29" t="s">
        <v>103</v>
      </c>
      <c r="B109" s="359" t="s">
        <v>104</v>
      </c>
      <c r="C109" s="360"/>
      <c r="D109" s="361"/>
      <c r="E109" s="108"/>
      <c r="F109" s="108"/>
      <c r="G109" s="13"/>
      <c r="H109" s="13"/>
      <c r="I109" s="13"/>
      <c r="J109" s="13"/>
      <c r="K109" s="84">
        <f t="shared" si="12"/>
        <v>0</v>
      </c>
      <c r="L109" s="15">
        <f>0+K109</f>
        <v>0</v>
      </c>
      <c r="M109" s="119">
        <f t="shared" si="11"/>
        <v>0</v>
      </c>
      <c r="N109" s="124">
        <f t="shared" si="11"/>
        <v>0</v>
      </c>
      <c r="O109" s="31">
        <v>0</v>
      </c>
      <c r="P109" s="123">
        <v>0</v>
      </c>
    </row>
    <row r="110" spans="1:18" ht="30.75" customHeight="1" thickBot="1">
      <c r="A110" s="29" t="s">
        <v>105</v>
      </c>
      <c r="B110" s="359" t="s">
        <v>106</v>
      </c>
      <c r="C110" s="360"/>
      <c r="D110" s="361"/>
      <c r="E110" s="108"/>
      <c r="F110" s="108"/>
      <c r="G110" s="13"/>
      <c r="H110" s="13"/>
      <c r="I110" s="13"/>
      <c r="J110" s="13"/>
      <c r="K110" s="84">
        <f t="shared" si="12"/>
        <v>0</v>
      </c>
      <c r="L110" s="15">
        <f>0+K110</f>
        <v>0</v>
      </c>
      <c r="M110" s="119">
        <f t="shared" si="11"/>
        <v>0</v>
      </c>
      <c r="N110" s="124">
        <f t="shared" si="11"/>
        <v>0</v>
      </c>
      <c r="O110" s="31">
        <v>0</v>
      </c>
      <c r="P110" s="123">
        <v>0</v>
      </c>
      <c r="R110" s="201"/>
    </row>
    <row r="111" spans="1:16" ht="28.5" customHeight="1" thickBot="1">
      <c r="A111" s="29" t="s">
        <v>107</v>
      </c>
      <c r="B111" s="384" t="s">
        <v>108</v>
      </c>
      <c r="C111" s="385"/>
      <c r="D111" s="386"/>
      <c r="E111" s="108"/>
      <c r="F111" s="108"/>
      <c r="G111" s="13"/>
      <c r="H111" s="13"/>
      <c r="I111" s="13"/>
      <c r="J111" s="13"/>
      <c r="K111" s="84">
        <f t="shared" si="12"/>
        <v>0</v>
      </c>
      <c r="L111" s="15">
        <f>0+K111</f>
        <v>0</v>
      </c>
      <c r="M111" s="119">
        <f t="shared" si="11"/>
        <v>0</v>
      </c>
      <c r="N111" s="124">
        <f t="shared" si="11"/>
        <v>0</v>
      </c>
      <c r="O111" s="31">
        <v>0</v>
      </c>
      <c r="P111" s="123">
        <v>0</v>
      </c>
    </row>
    <row r="112" spans="1:16" ht="32.25" customHeight="1" thickBot="1">
      <c r="A112" s="29" t="s">
        <v>109</v>
      </c>
      <c r="B112" s="359" t="s">
        <v>110</v>
      </c>
      <c r="C112" s="360"/>
      <c r="D112" s="361"/>
      <c r="E112" s="108"/>
      <c r="F112" s="108"/>
      <c r="G112" s="13"/>
      <c r="H112" s="13"/>
      <c r="I112" s="13"/>
      <c r="J112" s="13"/>
      <c r="K112" s="84">
        <f t="shared" si="12"/>
        <v>0</v>
      </c>
      <c r="L112" s="15">
        <f>0+K112</f>
        <v>0</v>
      </c>
      <c r="M112" s="119">
        <f t="shared" si="11"/>
        <v>0</v>
      </c>
      <c r="N112" s="124">
        <f t="shared" si="11"/>
        <v>0</v>
      </c>
      <c r="O112" s="31">
        <v>0</v>
      </c>
      <c r="P112" s="123">
        <v>0</v>
      </c>
    </row>
    <row r="113" spans="1:16" ht="21.75" customHeight="1" thickBot="1">
      <c r="A113" s="29" t="s">
        <v>111</v>
      </c>
      <c r="B113" s="359" t="s">
        <v>112</v>
      </c>
      <c r="C113" s="360"/>
      <c r="D113" s="361"/>
      <c r="E113" s="108"/>
      <c r="F113" s="108">
        <f>40000+E113</f>
        <v>40000</v>
      </c>
      <c r="G113" s="13"/>
      <c r="H113" s="13"/>
      <c r="I113" s="13"/>
      <c r="J113" s="13"/>
      <c r="K113" s="84">
        <f t="shared" si="12"/>
        <v>0</v>
      </c>
      <c r="L113" s="15">
        <f>30700+K113</f>
        <v>30700</v>
      </c>
      <c r="M113" s="119">
        <f t="shared" si="11"/>
        <v>0</v>
      </c>
      <c r="N113" s="124">
        <f t="shared" si="11"/>
        <v>9300</v>
      </c>
      <c r="O113" s="31">
        <v>0</v>
      </c>
      <c r="P113" s="123">
        <v>0</v>
      </c>
    </row>
    <row r="114" spans="1:16" ht="42" customHeight="1" thickBot="1">
      <c r="A114" s="29" t="s">
        <v>113</v>
      </c>
      <c r="B114" s="359" t="s">
        <v>114</v>
      </c>
      <c r="C114" s="360"/>
      <c r="D114" s="361"/>
      <c r="E114" s="108">
        <v>1500</v>
      </c>
      <c r="F114" s="108">
        <f>15000+E114</f>
        <v>16500</v>
      </c>
      <c r="G114" s="13"/>
      <c r="H114" s="13"/>
      <c r="I114" s="13"/>
      <c r="J114" s="13"/>
      <c r="K114" s="84">
        <f t="shared" si="12"/>
        <v>0</v>
      </c>
      <c r="L114" s="15">
        <f>27170.77+K114</f>
        <v>27170.77</v>
      </c>
      <c r="M114" s="119">
        <f t="shared" si="11"/>
        <v>1500</v>
      </c>
      <c r="N114" s="124">
        <f t="shared" si="11"/>
        <v>-10670.77</v>
      </c>
      <c r="O114" s="31">
        <v>0</v>
      </c>
      <c r="P114" s="123">
        <v>0</v>
      </c>
    </row>
    <row r="115" spans="1:16" ht="31.5" customHeight="1" thickBot="1">
      <c r="A115" s="29" t="s">
        <v>115</v>
      </c>
      <c r="B115" s="359" t="s">
        <v>116</v>
      </c>
      <c r="C115" s="360"/>
      <c r="D115" s="361"/>
      <c r="E115" s="108"/>
      <c r="F115" s="108">
        <f>160000+E115</f>
        <v>160000</v>
      </c>
      <c r="G115" s="13"/>
      <c r="H115" s="13"/>
      <c r="I115" s="13"/>
      <c r="J115" s="13"/>
      <c r="K115" s="84">
        <f t="shared" si="12"/>
        <v>0</v>
      </c>
      <c r="L115" s="15">
        <f>0+K115</f>
        <v>0</v>
      </c>
      <c r="M115" s="119">
        <f t="shared" si="11"/>
        <v>0</v>
      </c>
      <c r="N115" s="124">
        <f t="shared" si="11"/>
        <v>160000</v>
      </c>
      <c r="O115" s="31">
        <v>0</v>
      </c>
      <c r="P115" s="123">
        <v>0</v>
      </c>
    </row>
    <row r="116" spans="1:16" ht="32.25" customHeight="1" thickBot="1">
      <c r="A116" s="29" t="s">
        <v>117</v>
      </c>
      <c r="B116" s="359" t="s">
        <v>118</v>
      </c>
      <c r="C116" s="360"/>
      <c r="D116" s="361"/>
      <c r="E116" s="108"/>
      <c r="F116" s="108"/>
      <c r="G116" s="13"/>
      <c r="H116" s="13"/>
      <c r="I116" s="13"/>
      <c r="J116" s="13"/>
      <c r="K116" s="84">
        <f t="shared" si="12"/>
        <v>0</v>
      </c>
      <c r="L116" s="15">
        <f>0+K116</f>
        <v>0</v>
      </c>
      <c r="M116" s="119">
        <f t="shared" si="11"/>
        <v>0</v>
      </c>
      <c r="N116" s="124">
        <f t="shared" si="11"/>
        <v>0</v>
      </c>
      <c r="O116" s="31">
        <v>0</v>
      </c>
      <c r="P116" s="123">
        <v>0</v>
      </c>
    </row>
    <row r="117" spans="1:16" ht="45" customHeight="1" thickBot="1">
      <c r="A117" s="29"/>
      <c r="B117" s="359" t="s">
        <v>119</v>
      </c>
      <c r="C117" s="360"/>
      <c r="D117" s="361"/>
      <c r="E117" s="108"/>
      <c r="F117" s="108"/>
      <c r="G117" s="13"/>
      <c r="H117" s="13"/>
      <c r="I117" s="13">
        <v>3149</v>
      </c>
      <c r="J117" s="13"/>
      <c r="K117" s="84">
        <f>I117</f>
        <v>3149</v>
      </c>
      <c r="L117" s="15">
        <f>0+K117</f>
        <v>3149</v>
      </c>
      <c r="M117" s="119">
        <f t="shared" si="11"/>
        <v>-3149</v>
      </c>
      <c r="N117" s="124">
        <f t="shared" si="11"/>
        <v>-3149</v>
      </c>
      <c r="O117" s="31">
        <v>0</v>
      </c>
      <c r="P117" s="123">
        <v>0</v>
      </c>
    </row>
    <row r="118" spans="1:16" ht="32.25" customHeight="1" thickBot="1">
      <c r="A118" s="29" t="s">
        <v>120</v>
      </c>
      <c r="B118" s="359" t="s">
        <v>121</v>
      </c>
      <c r="C118" s="360"/>
      <c r="D118" s="361"/>
      <c r="E118" s="108"/>
      <c r="F118" s="108"/>
      <c r="G118" s="13">
        <v>20.39</v>
      </c>
      <c r="H118" s="13"/>
      <c r="I118" s="13"/>
      <c r="J118" s="13"/>
      <c r="K118" s="84">
        <f>G118</f>
        <v>20.39</v>
      </c>
      <c r="L118" s="15">
        <f>2027.62+K118</f>
        <v>2048.0099999999998</v>
      </c>
      <c r="M118" s="119">
        <f t="shared" si="11"/>
        <v>-20.39</v>
      </c>
      <c r="N118" s="124">
        <f t="shared" si="11"/>
        <v>-2048.0099999999998</v>
      </c>
      <c r="O118" s="31">
        <v>0</v>
      </c>
      <c r="P118" s="123">
        <v>0</v>
      </c>
    </row>
    <row r="119" spans="1:18" ht="30" customHeight="1" thickBot="1">
      <c r="A119" s="29" t="s">
        <v>211</v>
      </c>
      <c r="B119" s="381" t="s">
        <v>122</v>
      </c>
      <c r="C119" s="382"/>
      <c r="D119" s="383"/>
      <c r="E119" s="108"/>
      <c r="F119" s="108">
        <f>36000+E119</f>
        <v>36000</v>
      </c>
      <c r="G119" s="13">
        <v>6546</v>
      </c>
      <c r="H119" s="13"/>
      <c r="I119" s="13"/>
      <c r="J119" s="13"/>
      <c r="K119" s="84">
        <f>G119</f>
        <v>6546</v>
      </c>
      <c r="L119" s="15">
        <f>51706.38+K119</f>
        <v>58252.38</v>
      </c>
      <c r="M119" s="119">
        <f t="shared" si="11"/>
        <v>-6546</v>
      </c>
      <c r="N119" s="124">
        <f t="shared" si="11"/>
        <v>-22252.379999999997</v>
      </c>
      <c r="O119" s="31">
        <v>0</v>
      </c>
      <c r="P119" s="123">
        <v>0</v>
      </c>
      <c r="R119" s="201">
        <f>F131+F129+F128+F119+F115+F114+F113+F107+F106</f>
        <v>733604</v>
      </c>
    </row>
    <row r="120" spans="1:16" ht="22.5" customHeight="1" thickBot="1">
      <c r="A120" s="34" t="s">
        <v>123</v>
      </c>
      <c r="B120" s="359" t="s">
        <v>124</v>
      </c>
      <c r="C120" s="360"/>
      <c r="D120" s="361"/>
      <c r="E120" s="108"/>
      <c r="F120" s="108"/>
      <c r="G120" s="13"/>
      <c r="H120" s="13"/>
      <c r="I120" s="13"/>
      <c r="J120" s="13"/>
      <c r="K120" s="84">
        <f t="shared" si="12"/>
        <v>0</v>
      </c>
      <c r="L120" s="15">
        <f>0+K120</f>
        <v>0</v>
      </c>
      <c r="M120" s="119">
        <f t="shared" si="11"/>
        <v>0</v>
      </c>
      <c r="N120" s="124">
        <f t="shared" si="11"/>
        <v>0</v>
      </c>
      <c r="O120" s="31">
        <v>0</v>
      </c>
      <c r="P120" s="123">
        <v>0</v>
      </c>
    </row>
    <row r="121" spans="1:16" ht="15">
      <c r="A121" s="202"/>
      <c r="B121" s="576" t="s">
        <v>30</v>
      </c>
      <c r="C121" s="576"/>
      <c r="D121" s="576"/>
      <c r="E121" s="576"/>
      <c r="F121" s="576"/>
      <c r="G121" s="576"/>
      <c r="H121" s="576"/>
      <c r="I121" s="576"/>
      <c r="J121" s="576"/>
      <c r="K121" s="576"/>
      <c r="L121" s="576"/>
      <c r="M121" s="576"/>
      <c r="N121" s="576"/>
      <c r="O121" s="576"/>
      <c r="P121" s="577"/>
    </row>
    <row r="122" spans="1:16" ht="0.75" customHeight="1" thickBot="1">
      <c r="A122" s="203"/>
      <c r="B122" s="579"/>
      <c r="C122" s="579"/>
      <c r="D122" s="579"/>
      <c r="E122" s="579"/>
      <c r="F122" s="579"/>
      <c r="G122" s="579"/>
      <c r="H122" s="579"/>
      <c r="I122" s="579"/>
      <c r="J122" s="579"/>
      <c r="K122" s="579"/>
      <c r="L122" s="579"/>
      <c r="M122" s="579"/>
      <c r="N122" s="579"/>
      <c r="O122" s="579"/>
      <c r="P122" s="580"/>
    </row>
    <row r="123" spans="1:16" ht="15.75" thickBot="1">
      <c r="A123" s="204"/>
      <c r="B123" s="599" t="s">
        <v>14</v>
      </c>
      <c r="C123" s="600"/>
      <c r="D123" s="601"/>
      <c r="E123" s="605" t="s">
        <v>24</v>
      </c>
      <c r="F123" s="607" t="s">
        <v>25</v>
      </c>
      <c r="G123" s="609" t="s">
        <v>31</v>
      </c>
      <c r="H123" s="610"/>
      <c r="I123" s="610"/>
      <c r="J123" s="610"/>
      <c r="K123" s="611"/>
      <c r="L123" s="597" t="s">
        <v>16</v>
      </c>
      <c r="M123" s="597" t="s">
        <v>17</v>
      </c>
      <c r="N123" s="597" t="s">
        <v>18</v>
      </c>
      <c r="O123" s="597" t="s">
        <v>19</v>
      </c>
      <c r="P123" s="597" t="s">
        <v>20</v>
      </c>
    </row>
    <row r="124" spans="1:16" ht="51.75" customHeight="1" thickBot="1">
      <c r="A124" s="297"/>
      <c r="B124" s="602"/>
      <c r="C124" s="603"/>
      <c r="D124" s="604"/>
      <c r="E124" s="606"/>
      <c r="F124" s="608"/>
      <c r="G124" s="205" t="s">
        <v>32</v>
      </c>
      <c r="H124" s="205" t="s">
        <v>33</v>
      </c>
      <c r="I124" s="205" t="s">
        <v>34</v>
      </c>
      <c r="J124" s="206" t="s">
        <v>220</v>
      </c>
      <c r="K124" s="207" t="s">
        <v>27</v>
      </c>
      <c r="L124" s="598"/>
      <c r="M124" s="598"/>
      <c r="N124" s="598"/>
      <c r="O124" s="598"/>
      <c r="P124" s="598"/>
    </row>
    <row r="125" spans="1:16" ht="12.75" customHeight="1" thickBot="1">
      <c r="A125" s="38"/>
      <c r="B125" s="536">
        <v>1</v>
      </c>
      <c r="C125" s="537"/>
      <c r="D125" s="538"/>
      <c r="E125" s="180" t="s">
        <v>22</v>
      </c>
      <c r="F125" s="301">
        <v>3</v>
      </c>
      <c r="G125" s="301">
        <v>4</v>
      </c>
      <c r="H125" s="301">
        <v>5</v>
      </c>
      <c r="I125" s="175">
        <v>6</v>
      </c>
      <c r="J125" s="175">
        <v>7</v>
      </c>
      <c r="K125" s="192">
        <v>8</v>
      </c>
      <c r="L125" s="305">
        <v>9</v>
      </c>
      <c r="M125" s="175">
        <v>10</v>
      </c>
      <c r="N125" s="305">
        <v>11</v>
      </c>
      <c r="O125" s="175">
        <v>12</v>
      </c>
      <c r="P125" s="305">
        <v>13</v>
      </c>
    </row>
    <row r="126" spans="1:16" ht="21.75" customHeight="1" thickBot="1">
      <c r="A126" s="115" t="s">
        <v>125</v>
      </c>
      <c r="B126" s="514" t="s">
        <v>126</v>
      </c>
      <c r="C126" s="515"/>
      <c r="D126" s="516"/>
      <c r="E126" s="108"/>
      <c r="F126" s="108"/>
      <c r="G126" s="13"/>
      <c r="H126" s="13"/>
      <c r="I126" s="13"/>
      <c r="J126" s="13"/>
      <c r="K126" s="84">
        <f aca="true" t="shared" si="13" ref="K126:K140">G126</f>
        <v>0</v>
      </c>
      <c r="L126" s="15">
        <f>0+K126</f>
        <v>0</v>
      </c>
      <c r="M126" s="119">
        <f aca="true" t="shared" si="14" ref="M126:N141">E126-K126</f>
        <v>0</v>
      </c>
      <c r="N126" s="124">
        <f t="shared" si="14"/>
        <v>0</v>
      </c>
      <c r="O126" s="31">
        <v>0</v>
      </c>
      <c r="P126" s="123">
        <v>0</v>
      </c>
    </row>
    <row r="127" spans="1:16" ht="30" customHeight="1" thickBot="1">
      <c r="A127" s="116" t="s">
        <v>127</v>
      </c>
      <c r="B127" s="427" t="s">
        <v>128</v>
      </c>
      <c r="C127" s="428"/>
      <c r="D127" s="429"/>
      <c r="E127" s="108"/>
      <c r="F127" s="108"/>
      <c r="G127" s="13"/>
      <c r="H127" s="13"/>
      <c r="I127" s="13"/>
      <c r="J127" s="13"/>
      <c r="K127" s="84">
        <f t="shared" si="13"/>
        <v>0</v>
      </c>
      <c r="L127" s="15">
        <f>0+K127</f>
        <v>0</v>
      </c>
      <c r="M127" s="119">
        <f t="shared" si="14"/>
        <v>0</v>
      </c>
      <c r="N127" s="124">
        <f t="shared" si="14"/>
        <v>0</v>
      </c>
      <c r="O127" s="31">
        <v>0</v>
      </c>
      <c r="P127" s="123">
        <v>0</v>
      </c>
    </row>
    <row r="128" spans="1:16" ht="33.75" customHeight="1" thickBot="1">
      <c r="A128" s="39" t="s">
        <v>129</v>
      </c>
      <c r="B128" s="359" t="s">
        <v>130</v>
      </c>
      <c r="C128" s="360"/>
      <c r="D128" s="361"/>
      <c r="E128" s="108"/>
      <c r="F128" s="108">
        <f>300000+E128</f>
        <v>300000</v>
      </c>
      <c r="G128" s="13"/>
      <c r="H128" s="13"/>
      <c r="I128" s="13"/>
      <c r="J128" s="13"/>
      <c r="K128" s="84">
        <f>I128+G128</f>
        <v>0</v>
      </c>
      <c r="L128" s="15">
        <f>293195.39+K128</f>
        <v>293195.39</v>
      </c>
      <c r="M128" s="119">
        <f t="shared" si="14"/>
        <v>0</v>
      </c>
      <c r="N128" s="124">
        <f t="shared" si="14"/>
        <v>6804.609999999986</v>
      </c>
      <c r="O128" s="31">
        <v>0</v>
      </c>
      <c r="P128" s="123">
        <v>0</v>
      </c>
    </row>
    <row r="129" spans="1:16" ht="44.25" customHeight="1" thickBot="1">
      <c r="A129" s="39" t="s">
        <v>131</v>
      </c>
      <c r="B129" s="387" t="s">
        <v>222</v>
      </c>
      <c r="C129" s="388"/>
      <c r="D129" s="389"/>
      <c r="E129" s="108">
        <v>12751</v>
      </c>
      <c r="F129" s="108">
        <f>114753+E129</f>
        <v>127504</v>
      </c>
      <c r="G129" s="13"/>
      <c r="H129" s="13"/>
      <c r="I129" s="13"/>
      <c r="J129" s="13"/>
      <c r="K129" s="84">
        <f>H129</f>
        <v>0</v>
      </c>
      <c r="L129" s="15">
        <f>153006+K129</f>
        <v>153006</v>
      </c>
      <c r="M129" s="119">
        <f t="shared" si="14"/>
        <v>12751</v>
      </c>
      <c r="N129" s="124">
        <f t="shared" si="14"/>
        <v>-25502</v>
      </c>
      <c r="O129" s="31">
        <v>0</v>
      </c>
      <c r="P129" s="123">
        <v>0</v>
      </c>
    </row>
    <row r="130" spans="1:16" ht="35.25" customHeight="1" thickBot="1">
      <c r="A130" s="73" t="s">
        <v>133</v>
      </c>
      <c r="B130" s="359" t="s">
        <v>134</v>
      </c>
      <c r="C130" s="360"/>
      <c r="D130" s="361"/>
      <c r="E130" s="108"/>
      <c r="F130" s="108"/>
      <c r="G130" s="13">
        <v>3500</v>
      </c>
      <c r="H130" s="13"/>
      <c r="I130" s="13"/>
      <c r="J130" s="13"/>
      <c r="K130" s="84">
        <f>G130</f>
        <v>3500</v>
      </c>
      <c r="L130" s="15">
        <f>16500+K130</f>
        <v>20000</v>
      </c>
      <c r="M130" s="119">
        <f t="shared" si="14"/>
        <v>-3500</v>
      </c>
      <c r="N130" s="124">
        <f t="shared" si="14"/>
        <v>-20000</v>
      </c>
      <c r="O130" s="31">
        <v>0</v>
      </c>
      <c r="P130" s="123">
        <v>0</v>
      </c>
    </row>
    <row r="131" spans="1:16" ht="35.25" customHeight="1" thickBot="1">
      <c r="A131" s="73" t="s">
        <v>135</v>
      </c>
      <c r="B131" s="511" t="s">
        <v>136</v>
      </c>
      <c r="C131" s="512"/>
      <c r="D131" s="513"/>
      <c r="E131" s="108"/>
      <c r="F131" s="108">
        <f>6000+E131</f>
        <v>6000</v>
      </c>
      <c r="G131" s="13">
        <v>116.52</v>
      </c>
      <c r="H131" s="13"/>
      <c r="I131" s="13">
        <v>5000</v>
      </c>
      <c r="J131" s="13"/>
      <c r="K131" s="84">
        <f>G131+I131</f>
        <v>5116.52</v>
      </c>
      <c r="L131" s="15">
        <f>9934.67+K131</f>
        <v>15051.19</v>
      </c>
      <c r="M131" s="119">
        <f t="shared" si="14"/>
        <v>-5116.52</v>
      </c>
      <c r="N131" s="124">
        <f t="shared" si="14"/>
        <v>-9051.19</v>
      </c>
      <c r="O131" s="31">
        <v>0</v>
      </c>
      <c r="P131" s="123">
        <v>0</v>
      </c>
    </row>
    <row r="132" spans="1:19" ht="36.75" customHeight="1" thickBot="1">
      <c r="A132" s="40">
        <v>15</v>
      </c>
      <c r="B132" s="338" t="s">
        <v>137</v>
      </c>
      <c r="C132" s="338"/>
      <c r="D132" s="339"/>
      <c r="E132" s="108">
        <v>0</v>
      </c>
      <c r="F132" s="114">
        <f>F133</f>
        <v>0</v>
      </c>
      <c r="G132" s="32">
        <f>G133+G134</f>
        <v>0</v>
      </c>
      <c r="H132" s="13"/>
      <c r="I132" s="13"/>
      <c r="J132" s="13"/>
      <c r="K132" s="83">
        <f t="shared" si="13"/>
        <v>0</v>
      </c>
      <c r="L132" s="23">
        <f>L133+L134</f>
        <v>244030.07</v>
      </c>
      <c r="M132" s="120">
        <f t="shared" si="14"/>
        <v>0</v>
      </c>
      <c r="N132" s="125">
        <f t="shared" si="14"/>
        <v>-244030.07</v>
      </c>
      <c r="O132" s="26">
        <v>0</v>
      </c>
      <c r="P132" s="27">
        <v>0</v>
      </c>
      <c r="Q132" s="173"/>
      <c r="R132" s="173"/>
      <c r="S132" s="173"/>
    </row>
    <row r="133" spans="1:19" ht="29.25" customHeight="1" thickBot="1">
      <c r="A133" s="29" t="s">
        <v>187</v>
      </c>
      <c r="B133" s="340" t="s">
        <v>152</v>
      </c>
      <c r="C133" s="341"/>
      <c r="D133" s="342"/>
      <c r="E133" s="112"/>
      <c r="F133" s="108">
        <v>0</v>
      </c>
      <c r="G133" s="13"/>
      <c r="H133" s="13"/>
      <c r="I133" s="13"/>
      <c r="J133" s="13"/>
      <c r="K133" s="84">
        <f t="shared" si="13"/>
        <v>0</v>
      </c>
      <c r="L133" s="15">
        <f>244030.07+K133</f>
        <v>244030.07</v>
      </c>
      <c r="M133" s="119">
        <f t="shared" si="14"/>
        <v>0</v>
      </c>
      <c r="N133" s="124">
        <f t="shared" si="14"/>
        <v>-244030.07</v>
      </c>
      <c r="O133" s="31">
        <v>0</v>
      </c>
      <c r="P133" s="123">
        <v>0</v>
      </c>
      <c r="Q133" s="173"/>
      <c r="R133" s="173"/>
      <c r="S133" s="173"/>
    </row>
    <row r="134" spans="1:19" ht="32.25" customHeight="1" thickBot="1">
      <c r="A134" s="29" t="s">
        <v>188</v>
      </c>
      <c r="B134" s="340" t="s">
        <v>171</v>
      </c>
      <c r="C134" s="341"/>
      <c r="D134" s="342"/>
      <c r="E134" s="112"/>
      <c r="F134" s="108"/>
      <c r="G134" s="13"/>
      <c r="H134" s="13"/>
      <c r="I134" s="13"/>
      <c r="J134" s="13"/>
      <c r="K134" s="84">
        <f t="shared" si="13"/>
        <v>0</v>
      </c>
      <c r="L134" s="15">
        <f>0+K134</f>
        <v>0</v>
      </c>
      <c r="M134" s="119">
        <f t="shared" si="14"/>
        <v>0</v>
      </c>
      <c r="N134" s="124">
        <f t="shared" si="14"/>
        <v>0</v>
      </c>
      <c r="O134" s="31">
        <v>0</v>
      </c>
      <c r="P134" s="123">
        <v>0</v>
      </c>
      <c r="Q134" s="173"/>
      <c r="R134" s="173"/>
      <c r="S134" s="173"/>
    </row>
    <row r="135" spans="1:19" ht="31.5" customHeight="1" thickBot="1">
      <c r="A135" s="41">
        <v>16</v>
      </c>
      <c r="B135" s="338" t="s">
        <v>138</v>
      </c>
      <c r="C135" s="338"/>
      <c r="D135" s="339"/>
      <c r="E135" s="108">
        <v>0</v>
      </c>
      <c r="F135" s="114">
        <f>F136</f>
        <v>0</v>
      </c>
      <c r="G135" s="32">
        <f>G136+G137</f>
        <v>0</v>
      </c>
      <c r="H135" s="13"/>
      <c r="I135" s="13"/>
      <c r="J135" s="13"/>
      <c r="K135" s="83">
        <f t="shared" si="13"/>
        <v>0</v>
      </c>
      <c r="L135" s="23">
        <f>1439790.82+K135</f>
        <v>1439790.82</v>
      </c>
      <c r="M135" s="120">
        <f t="shared" si="14"/>
        <v>0</v>
      </c>
      <c r="N135" s="125">
        <f t="shared" si="14"/>
        <v>-1439790.82</v>
      </c>
      <c r="O135" s="26">
        <v>0</v>
      </c>
      <c r="P135" s="27">
        <v>0</v>
      </c>
      <c r="Q135" s="173"/>
      <c r="R135" s="173"/>
      <c r="S135" s="173"/>
    </row>
    <row r="136" spans="1:19" ht="34.5" customHeight="1" thickBot="1">
      <c r="A136" s="29" t="s">
        <v>189</v>
      </c>
      <c r="B136" s="340" t="s">
        <v>152</v>
      </c>
      <c r="C136" s="341"/>
      <c r="D136" s="342"/>
      <c r="E136" s="112"/>
      <c r="F136" s="108">
        <v>0</v>
      </c>
      <c r="G136" s="13"/>
      <c r="H136" s="13"/>
      <c r="I136" s="13"/>
      <c r="J136" s="13"/>
      <c r="K136" s="84">
        <f t="shared" si="13"/>
        <v>0</v>
      </c>
      <c r="L136" s="15">
        <f>1439790.82+K136</f>
        <v>1439790.82</v>
      </c>
      <c r="M136" s="119">
        <f t="shared" si="14"/>
        <v>0</v>
      </c>
      <c r="N136" s="124">
        <f t="shared" si="14"/>
        <v>-1439790.82</v>
      </c>
      <c r="O136" s="31">
        <v>0</v>
      </c>
      <c r="P136" s="123">
        <v>0</v>
      </c>
      <c r="Q136" s="173"/>
      <c r="R136" s="173"/>
      <c r="S136" s="173"/>
    </row>
    <row r="137" spans="1:19" ht="35.25" customHeight="1" thickBot="1">
      <c r="A137" s="29" t="s">
        <v>190</v>
      </c>
      <c r="B137" s="340" t="s">
        <v>171</v>
      </c>
      <c r="C137" s="341"/>
      <c r="D137" s="342"/>
      <c r="E137" s="112"/>
      <c r="F137" s="108"/>
      <c r="G137" s="13"/>
      <c r="H137" s="13"/>
      <c r="I137" s="13"/>
      <c r="J137" s="13"/>
      <c r="K137" s="84">
        <f t="shared" si="13"/>
        <v>0</v>
      </c>
      <c r="L137" s="15">
        <f>0+K137</f>
        <v>0</v>
      </c>
      <c r="M137" s="119">
        <f t="shared" si="14"/>
        <v>0</v>
      </c>
      <c r="N137" s="124">
        <f t="shared" si="14"/>
        <v>0</v>
      </c>
      <c r="O137" s="31">
        <v>0</v>
      </c>
      <c r="P137" s="123">
        <v>0</v>
      </c>
      <c r="Q137" s="173"/>
      <c r="R137" s="173"/>
      <c r="S137" s="173"/>
    </row>
    <row r="138" spans="1:19" ht="47.25" customHeight="1" thickBot="1">
      <c r="A138" s="40">
        <v>17</v>
      </c>
      <c r="B138" s="338" t="s">
        <v>139</v>
      </c>
      <c r="C138" s="338"/>
      <c r="D138" s="339"/>
      <c r="E138" s="114">
        <v>0</v>
      </c>
      <c r="F138" s="114"/>
      <c r="G138" s="32"/>
      <c r="H138" s="32"/>
      <c r="I138" s="32"/>
      <c r="J138" s="32"/>
      <c r="K138" s="83">
        <f t="shared" si="13"/>
        <v>0</v>
      </c>
      <c r="L138" s="23">
        <f>L139</f>
        <v>86350</v>
      </c>
      <c r="M138" s="120">
        <f t="shared" si="14"/>
        <v>0</v>
      </c>
      <c r="N138" s="125">
        <f t="shared" si="14"/>
        <v>-86350</v>
      </c>
      <c r="O138" s="26">
        <v>0</v>
      </c>
      <c r="P138" s="27">
        <v>0</v>
      </c>
      <c r="Q138" s="173"/>
      <c r="R138" s="173"/>
      <c r="S138" s="173"/>
    </row>
    <row r="139" spans="1:19" ht="27" customHeight="1" thickBot="1">
      <c r="A139" s="29" t="s">
        <v>191</v>
      </c>
      <c r="B139" s="340" t="s">
        <v>152</v>
      </c>
      <c r="C139" s="341"/>
      <c r="D139" s="342"/>
      <c r="E139" s="112"/>
      <c r="F139" s="108"/>
      <c r="G139" s="13"/>
      <c r="H139" s="13"/>
      <c r="I139" s="13"/>
      <c r="J139" s="13"/>
      <c r="K139" s="84">
        <f t="shared" si="13"/>
        <v>0</v>
      </c>
      <c r="L139" s="15">
        <f>86350+K139</f>
        <v>86350</v>
      </c>
      <c r="M139" s="119">
        <f t="shared" si="14"/>
        <v>0</v>
      </c>
      <c r="N139" s="124">
        <f t="shared" si="14"/>
        <v>-86350</v>
      </c>
      <c r="O139" s="31">
        <v>0</v>
      </c>
      <c r="P139" s="123">
        <v>0</v>
      </c>
      <c r="Q139" s="173"/>
      <c r="R139" s="173"/>
      <c r="S139" s="173"/>
    </row>
    <row r="140" spans="1:19" ht="29.25" customHeight="1" thickBot="1">
      <c r="A140" s="29" t="s">
        <v>192</v>
      </c>
      <c r="B140" s="340" t="s">
        <v>171</v>
      </c>
      <c r="C140" s="341"/>
      <c r="D140" s="342"/>
      <c r="E140" s="112"/>
      <c r="F140" s="108"/>
      <c r="G140" s="13"/>
      <c r="H140" s="13"/>
      <c r="I140" s="13"/>
      <c r="J140" s="13"/>
      <c r="K140" s="84">
        <f t="shared" si="13"/>
        <v>0</v>
      </c>
      <c r="L140" s="15">
        <f>0+K140</f>
        <v>0</v>
      </c>
      <c r="M140" s="119">
        <f t="shared" si="14"/>
        <v>0</v>
      </c>
      <c r="N140" s="124">
        <f t="shared" si="14"/>
        <v>0</v>
      </c>
      <c r="O140" s="31">
        <v>0</v>
      </c>
      <c r="P140" s="123">
        <v>0</v>
      </c>
      <c r="Q140" s="173"/>
      <c r="R140" s="173"/>
      <c r="S140" s="173"/>
    </row>
    <row r="141" spans="1:19" ht="22.5" customHeight="1" thickBot="1">
      <c r="A141" s="40">
        <v>18</v>
      </c>
      <c r="B141" s="323" t="s">
        <v>140</v>
      </c>
      <c r="C141" s="323"/>
      <c r="D141" s="324"/>
      <c r="E141" s="108">
        <v>0</v>
      </c>
      <c r="F141" s="108"/>
      <c r="G141" s="13"/>
      <c r="H141" s="13"/>
      <c r="I141" s="13"/>
      <c r="J141" s="32"/>
      <c r="K141" s="83">
        <f>J141</f>
        <v>0</v>
      </c>
      <c r="L141" s="23">
        <f>1186754.54+K141</f>
        <v>1186754.54</v>
      </c>
      <c r="M141" s="120">
        <f t="shared" si="14"/>
        <v>0</v>
      </c>
      <c r="N141" s="125">
        <f t="shared" si="14"/>
        <v>-1186754.54</v>
      </c>
      <c r="O141" s="26">
        <v>0</v>
      </c>
      <c r="P141" s="27">
        <v>0</v>
      </c>
      <c r="Q141" s="173"/>
      <c r="R141" s="173"/>
      <c r="S141" s="173"/>
    </row>
    <row r="142" spans="1:19" ht="50.25" customHeight="1" thickBot="1">
      <c r="A142" s="43"/>
      <c r="B142" s="328" t="s">
        <v>141</v>
      </c>
      <c r="C142" s="328"/>
      <c r="D142" s="328"/>
      <c r="E142" s="328"/>
      <c r="F142" s="208"/>
      <c r="G142" s="208" t="s">
        <v>4</v>
      </c>
      <c r="H142" s="303" t="s">
        <v>5</v>
      </c>
      <c r="I142" s="532" t="s">
        <v>6</v>
      </c>
      <c r="J142" s="533"/>
      <c r="K142" s="176" t="s">
        <v>11</v>
      </c>
      <c r="L142" s="175" t="s">
        <v>8</v>
      </c>
      <c r="M142" s="175" t="s">
        <v>9</v>
      </c>
      <c r="N142" s="210" t="s">
        <v>10</v>
      </c>
      <c r="O142" s="211"/>
      <c r="P142" s="304"/>
      <c r="Q142" s="173"/>
      <c r="R142" s="173"/>
      <c r="S142" s="173"/>
    </row>
    <row r="143" spans="1:19" ht="23.25" customHeight="1" thickBot="1">
      <c r="A143" s="42"/>
      <c r="B143" s="328" t="s">
        <v>12</v>
      </c>
      <c r="C143" s="328"/>
      <c r="D143" s="328"/>
      <c r="E143" s="329"/>
      <c r="F143" s="47"/>
      <c r="G143" s="47">
        <v>0</v>
      </c>
      <c r="H143" s="3">
        <v>0</v>
      </c>
      <c r="I143" s="330">
        <v>0</v>
      </c>
      <c r="J143" s="331"/>
      <c r="K143" s="86"/>
      <c r="L143" s="3">
        <v>0</v>
      </c>
      <c r="M143" s="293">
        <v>0</v>
      </c>
      <c r="N143" s="293">
        <v>0</v>
      </c>
      <c r="O143" s="3"/>
      <c r="P143" s="3">
        <v>0</v>
      </c>
      <c r="Q143" s="173"/>
      <c r="R143" s="173"/>
      <c r="S143" s="173"/>
    </row>
    <row r="144" spans="1:19" ht="27" customHeight="1" thickBot="1">
      <c r="A144" s="43"/>
      <c r="B144" s="328" t="s">
        <v>13</v>
      </c>
      <c r="C144" s="328"/>
      <c r="D144" s="328"/>
      <c r="E144" s="329"/>
      <c r="F144" s="3"/>
      <c r="G144" s="3">
        <f>F10+G17-G32-G36-G40-G45-G55-G65-G68-G72-G75-G79-G89-G102-G133-G136-G139</f>
        <v>-236532.60999999987</v>
      </c>
      <c r="H144" s="3">
        <f>G18+H10-H29</f>
        <v>0</v>
      </c>
      <c r="I144" s="330">
        <f>I10+G19-I104-I66-I97-I76</f>
        <v>0</v>
      </c>
      <c r="J144" s="331"/>
      <c r="K144" s="86">
        <f>O10+G22-J54</f>
        <v>10991.49</v>
      </c>
      <c r="L144" s="3">
        <f>L10+G23-J141</f>
        <v>358903.51</v>
      </c>
      <c r="M144" s="293">
        <v>0</v>
      </c>
      <c r="N144" s="3">
        <v>0</v>
      </c>
      <c r="O144" s="48"/>
      <c r="P144" s="3">
        <f>SUM(G144:O144)</f>
        <v>133362.39000000013</v>
      </c>
      <c r="Q144" s="173"/>
      <c r="R144" s="196">
        <f>P5+L16-L29</f>
        <v>133362.37999999523</v>
      </c>
      <c r="S144" s="18"/>
    </row>
    <row r="145" spans="1:19" ht="24.75" customHeight="1" thickBot="1">
      <c r="A145" s="49"/>
      <c r="B145" s="524" t="s">
        <v>251</v>
      </c>
      <c r="C145" s="524"/>
      <c r="D145" s="524"/>
      <c r="E145" s="525"/>
      <c r="F145" s="346"/>
      <c r="G145" s="346"/>
      <c r="H145" s="346"/>
      <c r="I145" s="346"/>
      <c r="J145" s="346"/>
      <c r="K145" s="346"/>
      <c r="L145" s="346"/>
      <c r="M145" s="346"/>
      <c r="N145" s="347"/>
      <c r="O145" s="348"/>
      <c r="P145" s="50">
        <f>P144</f>
        <v>133362.39000000013</v>
      </c>
      <c r="Q145" s="173"/>
      <c r="R145" s="18"/>
      <c r="S145" s="18"/>
    </row>
    <row r="146" spans="1:19" ht="15">
      <c r="A146" s="173"/>
      <c r="B146" s="213"/>
      <c r="C146" s="213"/>
      <c r="D146" s="213"/>
      <c r="E146" s="213"/>
      <c r="F146" s="52"/>
      <c r="G146" s="52"/>
      <c r="H146" s="52"/>
      <c r="I146" s="52"/>
      <c r="J146" s="52"/>
      <c r="K146" s="87"/>
      <c r="L146" s="52"/>
      <c r="M146" s="52"/>
      <c r="N146" s="52"/>
      <c r="O146" s="53"/>
      <c r="P146" s="54"/>
      <c r="Q146" s="173"/>
      <c r="R146" s="18"/>
      <c r="S146" s="173"/>
    </row>
    <row r="147" spans="1:19" ht="15">
      <c r="A147" s="173"/>
      <c r="B147" s="343" t="s">
        <v>142</v>
      </c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9" t="s">
        <v>143</v>
      </c>
      <c r="P147" s="349"/>
      <c r="Q147" s="173"/>
      <c r="R147" s="196"/>
      <c r="S147" s="18"/>
    </row>
    <row r="148" spans="1:19" ht="15">
      <c r="A148" s="173"/>
      <c r="B148" s="343" t="s">
        <v>144</v>
      </c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 t="s">
        <v>145</v>
      </c>
      <c r="P148" s="343"/>
      <c r="Q148" s="173"/>
      <c r="R148" s="173"/>
      <c r="S148" s="173"/>
    </row>
    <row r="149" spans="1:19" ht="15">
      <c r="A149" s="173"/>
      <c r="B149" s="295"/>
      <c r="C149" s="295"/>
      <c r="D149" s="295"/>
      <c r="E149" s="295"/>
      <c r="F149" s="295"/>
      <c r="G149" s="295"/>
      <c r="H149" s="295"/>
      <c r="I149" s="295"/>
      <c r="J149" s="55"/>
      <c r="K149" s="88"/>
      <c r="L149" s="55"/>
      <c r="M149" s="295"/>
      <c r="N149" s="295"/>
      <c r="O149" s="295"/>
      <c r="P149" s="55"/>
      <c r="Q149" s="173"/>
      <c r="R149" s="18"/>
      <c r="S149" s="173"/>
    </row>
    <row r="151" spans="1:19" ht="15">
      <c r="A151" s="173"/>
      <c r="B151" s="173"/>
      <c r="C151" s="173"/>
      <c r="D151" s="173"/>
      <c r="E151" s="173"/>
      <c r="F151" s="173"/>
      <c r="G151" s="173"/>
      <c r="H151" s="173"/>
      <c r="I151" s="250"/>
      <c r="J151" s="173"/>
      <c r="K151" s="173"/>
      <c r="L151" s="173"/>
      <c r="M151" s="173"/>
      <c r="N151" s="173"/>
      <c r="O151" s="173"/>
      <c r="P151" s="173"/>
      <c r="Q151" s="173"/>
      <c r="R151" s="18"/>
      <c r="S151" s="173"/>
    </row>
    <row r="152" spans="1:19" ht="15">
      <c r="A152" s="173"/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8"/>
      <c r="S152" s="173"/>
    </row>
    <row r="153" spans="1:19" ht="15">
      <c r="A153" s="173"/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8"/>
      <c r="O153" s="173"/>
      <c r="P153" s="173"/>
      <c r="Q153" s="173"/>
      <c r="R153" s="173"/>
      <c r="S153" s="173"/>
    </row>
    <row r="154" spans="12:16" ht="15">
      <c r="L154" s="173"/>
      <c r="M154" s="173"/>
      <c r="N154" s="18"/>
      <c r="O154" s="173"/>
      <c r="P154" s="18"/>
    </row>
    <row r="155" spans="12:16" ht="15">
      <c r="L155" s="173"/>
      <c r="M155" s="173"/>
      <c r="N155" s="214"/>
      <c r="O155" s="173"/>
      <c r="P155" s="18"/>
    </row>
    <row r="156" spans="12:16" ht="15">
      <c r="L156" s="18"/>
      <c r="M156" s="173"/>
      <c r="N156" s="173"/>
      <c r="O156" s="173"/>
      <c r="P156" s="173"/>
    </row>
    <row r="157" spans="12:16" ht="15">
      <c r="L157" s="18"/>
      <c r="M157" s="18"/>
      <c r="N157" s="173"/>
      <c r="O157" s="173"/>
      <c r="P157" s="173"/>
    </row>
  </sheetData>
  <sheetProtection/>
  <mergeCells count="200">
    <mergeCell ref="B1:P1"/>
    <mergeCell ref="B2:P2"/>
    <mergeCell ref="B3:P3"/>
    <mergeCell ref="B4:P4"/>
    <mergeCell ref="B5:E5"/>
    <mergeCell ref="F5:O5"/>
    <mergeCell ref="B9:E9"/>
    <mergeCell ref="F9:G9"/>
    <mergeCell ref="I9:J9"/>
    <mergeCell ref="B10:E10"/>
    <mergeCell ref="F10:G10"/>
    <mergeCell ref="I10:J10"/>
    <mergeCell ref="B6:E6"/>
    <mergeCell ref="F6:O6"/>
    <mergeCell ref="B7:E7"/>
    <mergeCell ref="F7:P7"/>
    <mergeCell ref="B8:E8"/>
    <mergeCell ref="F8:G8"/>
    <mergeCell ref="I8:J8"/>
    <mergeCell ref="P12:P13"/>
    <mergeCell ref="B14:D14"/>
    <mergeCell ref="G14:J14"/>
    <mergeCell ref="A15:A16"/>
    <mergeCell ref="B15:D16"/>
    <mergeCell ref="G15:J15"/>
    <mergeCell ref="G16:J16"/>
    <mergeCell ref="B11:E11"/>
    <mergeCell ref="F11:P11"/>
    <mergeCell ref="A12:A13"/>
    <mergeCell ref="B12:E13"/>
    <mergeCell ref="F12:F13"/>
    <mergeCell ref="G12:K13"/>
    <mergeCell ref="L12:L13"/>
    <mergeCell ref="M12:M13"/>
    <mergeCell ref="N12:N13"/>
    <mergeCell ref="O12:O13"/>
    <mergeCell ref="B20:D20"/>
    <mergeCell ref="G20:J20"/>
    <mergeCell ref="B21:D21"/>
    <mergeCell ref="G21:J21"/>
    <mergeCell ref="B22:D22"/>
    <mergeCell ref="G22:J22"/>
    <mergeCell ref="B17:D17"/>
    <mergeCell ref="G17:J17"/>
    <mergeCell ref="B18:D18"/>
    <mergeCell ref="G18:J18"/>
    <mergeCell ref="B19:D19"/>
    <mergeCell ref="G19:J19"/>
    <mergeCell ref="M26:M27"/>
    <mergeCell ref="N26:N27"/>
    <mergeCell ref="O26:O27"/>
    <mergeCell ref="P26:P27"/>
    <mergeCell ref="B28:D28"/>
    <mergeCell ref="B29:D29"/>
    <mergeCell ref="B23:D23"/>
    <mergeCell ref="G23:J23"/>
    <mergeCell ref="A24:A25"/>
    <mergeCell ref="B24:P25"/>
    <mergeCell ref="A26:A27"/>
    <mergeCell ref="B26:D27"/>
    <mergeCell ref="E26:E27"/>
    <mergeCell ref="F26:F27"/>
    <mergeCell ref="G26:K26"/>
    <mergeCell ref="L26:L27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49:D49"/>
    <mergeCell ref="B50:D50"/>
    <mergeCell ref="B51:D51"/>
    <mergeCell ref="B52:D52"/>
    <mergeCell ref="B54:D54"/>
    <mergeCell ref="B55:D55"/>
    <mergeCell ref="B42:D42"/>
    <mergeCell ref="B43:D43"/>
    <mergeCell ref="B44:D44"/>
    <mergeCell ref="B45:D45"/>
    <mergeCell ref="B46:D46"/>
    <mergeCell ref="B48:D48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74:D74"/>
    <mergeCell ref="B75:D75"/>
    <mergeCell ref="B76:D76"/>
    <mergeCell ref="B78:D78"/>
    <mergeCell ref="B79:D79"/>
    <mergeCell ref="B80:D80"/>
    <mergeCell ref="B68:D68"/>
    <mergeCell ref="B69:D69"/>
    <mergeCell ref="B70:D70"/>
    <mergeCell ref="B71:D71"/>
    <mergeCell ref="B72:D72"/>
    <mergeCell ref="B73:D73"/>
    <mergeCell ref="B81:D81"/>
    <mergeCell ref="A83:A84"/>
    <mergeCell ref="B83:P84"/>
    <mergeCell ref="A85:A86"/>
    <mergeCell ref="B85:D86"/>
    <mergeCell ref="E85:E86"/>
    <mergeCell ref="F85:F86"/>
    <mergeCell ref="G85:K85"/>
    <mergeCell ref="L85:L86"/>
    <mergeCell ref="M85:M86"/>
    <mergeCell ref="B90:D90"/>
    <mergeCell ref="B91:D91"/>
    <mergeCell ref="B92:D92"/>
    <mergeCell ref="B93:D93"/>
    <mergeCell ref="B94:D94"/>
    <mergeCell ref="B95:D95"/>
    <mergeCell ref="N85:N86"/>
    <mergeCell ref="O85:O86"/>
    <mergeCell ref="P85:P86"/>
    <mergeCell ref="B87:D87"/>
    <mergeCell ref="B88:D88"/>
    <mergeCell ref="B89:D89"/>
    <mergeCell ref="B102:D102"/>
    <mergeCell ref="B103:D103"/>
    <mergeCell ref="B104:D104"/>
    <mergeCell ref="B105:D105"/>
    <mergeCell ref="B106:D106"/>
    <mergeCell ref="B107:D107"/>
    <mergeCell ref="B96:D96"/>
    <mergeCell ref="B97:D97"/>
    <mergeCell ref="B98:D98"/>
    <mergeCell ref="B99:D99"/>
    <mergeCell ref="B100:D100"/>
    <mergeCell ref="B101:D101"/>
    <mergeCell ref="B114:D114"/>
    <mergeCell ref="B115:D115"/>
    <mergeCell ref="B116:D116"/>
    <mergeCell ref="B117:D117"/>
    <mergeCell ref="B118:D118"/>
    <mergeCell ref="B119:D119"/>
    <mergeCell ref="B108:D108"/>
    <mergeCell ref="B109:D109"/>
    <mergeCell ref="B110:D110"/>
    <mergeCell ref="B111:D111"/>
    <mergeCell ref="B112:D112"/>
    <mergeCell ref="B113:D113"/>
    <mergeCell ref="P123:P124"/>
    <mergeCell ref="B125:D125"/>
    <mergeCell ref="B126:D126"/>
    <mergeCell ref="B127:D127"/>
    <mergeCell ref="B128:D128"/>
    <mergeCell ref="B129:D129"/>
    <mergeCell ref="B120:D120"/>
    <mergeCell ref="B121:P122"/>
    <mergeCell ref="B123:D124"/>
    <mergeCell ref="E123:E124"/>
    <mergeCell ref="F123:F124"/>
    <mergeCell ref="G123:K123"/>
    <mergeCell ref="L123:L124"/>
    <mergeCell ref="M123:M124"/>
    <mergeCell ref="N123:N124"/>
    <mergeCell ref="O123:O124"/>
    <mergeCell ref="B136:D136"/>
    <mergeCell ref="B137:D137"/>
    <mergeCell ref="B138:D138"/>
    <mergeCell ref="B139:D139"/>
    <mergeCell ref="B140:D140"/>
    <mergeCell ref="B141:D141"/>
    <mergeCell ref="B130:D130"/>
    <mergeCell ref="B131:D131"/>
    <mergeCell ref="B132:D132"/>
    <mergeCell ref="B133:D133"/>
    <mergeCell ref="B134:D134"/>
    <mergeCell ref="B135:D135"/>
    <mergeCell ref="B145:E145"/>
    <mergeCell ref="F145:O145"/>
    <mergeCell ref="B147:E147"/>
    <mergeCell ref="F147:N147"/>
    <mergeCell ref="O147:P147"/>
    <mergeCell ref="B148:E148"/>
    <mergeCell ref="F148:N148"/>
    <mergeCell ref="O148:P148"/>
    <mergeCell ref="B142:E142"/>
    <mergeCell ref="I142:J142"/>
    <mergeCell ref="B143:E143"/>
    <mergeCell ref="I143:J143"/>
    <mergeCell ref="B144:E144"/>
    <mergeCell ref="I144:J144"/>
  </mergeCell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57"/>
  <sheetViews>
    <sheetView zoomScalePageLayoutView="0" workbookViewId="0" topLeftCell="A139">
      <selection activeCell="B126" sqref="B126:D126"/>
    </sheetView>
  </sheetViews>
  <sheetFormatPr defaultColWidth="9.140625" defaultRowHeight="15"/>
  <cols>
    <col min="1" max="1" width="4.140625" style="174" customWidth="1"/>
    <col min="2" max="3" width="9.140625" style="174" customWidth="1"/>
    <col min="4" max="4" width="9.28125" style="174" customWidth="1"/>
    <col min="5" max="5" width="13.140625" style="174" customWidth="1"/>
    <col min="6" max="6" width="14.28125" style="174" customWidth="1"/>
    <col min="7" max="7" width="13.28125" style="174" customWidth="1"/>
    <col min="8" max="8" width="9.7109375" style="174" customWidth="1"/>
    <col min="9" max="9" width="8.57421875" style="174" customWidth="1"/>
    <col min="10" max="10" width="11.421875" style="174" customWidth="1"/>
    <col min="11" max="11" width="13.00390625" style="174" customWidth="1"/>
    <col min="12" max="12" width="14.8515625" style="174" customWidth="1"/>
    <col min="13" max="13" width="13.421875" style="174" customWidth="1"/>
    <col min="14" max="14" width="14.28125" style="174" customWidth="1"/>
    <col min="15" max="15" width="8.421875" style="174" customWidth="1"/>
    <col min="16" max="16" width="11.8515625" style="174" customWidth="1"/>
    <col min="17" max="17" width="9.140625" style="174" customWidth="1"/>
    <col min="18" max="18" width="11.7109375" style="174" customWidth="1"/>
    <col min="19" max="19" width="11.140625" style="174" bestFit="1" customWidth="1"/>
    <col min="20" max="16384" width="9.140625" style="174" customWidth="1"/>
  </cols>
  <sheetData>
    <row r="1" spans="1:16" ht="25.5" customHeight="1">
      <c r="A1" s="173"/>
      <c r="B1" s="485" t="s">
        <v>0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</row>
    <row r="2" spans="1:16" ht="22.5" customHeight="1">
      <c r="A2" s="173"/>
      <c r="B2" s="520" t="s">
        <v>253</v>
      </c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</row>
    <row r="3" spans="1:16" ht="21.75" customHeight="1" thickBot="1">
      <c r="A3" s="173"/>
      <c r="B3" s="521" t="s">
        <v>1</v>
      </c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</row>
    <row r="4" spans="1:16" ht="15.75" thickBot="1">
      <c r="A4" s="173"/>
      <c r="B4" s="522" t="s">
        <v>2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</row>
    <row r="5" spans="1:16" ht="24" customHeight="1" thickBot="1">
      <c r="A5" s="2"/>
      <c r="B5" s="523" t="s">
        <v>193</v>
      </c>
      <c r="C5" s="524"/>
      <c r="D5" s="524"/>
      <c r="E5" s="525"/>
      <c r="F5" s="346"/>
      <c r="G5" s="346"/>
      <c r="H5" s="346"/>
      <c r="I5" s="346"/>
      <c r="J5" s="346"/>
      <c r="K5" s="346"/>
      <c r="L5" s="346"/>
      <c r="M5" s="346"/>
      <c r="N5" s="346"/>
      <c r="O5" s="489"/>
      <c r="P5" s="3">
        <v>365352.15</v>
      </c>
    </row>
    <row r="6" spans="1:16" ht="24.75" customHeight="1" thickBot="1">
      <c r="A6" s="2"/>
      <c r="B6" s="523" t="s">
        <v>254</v>
      </c>
      <c r="C6" s="524"/>
      <c r="D6" s="524"/>
      <c r="E6" s="525"/>
      <c r="F6" s="346"/>
      <c r="G6" s="346"/>
      <c r="H6" s="346"/>
      <c r="I6" s="346"/>
      <c r="J6" s="346"/>
      <c r="K6" s="346"/>
      <c r="L6" s="346"/>
      <c r="M6" s="346"/>
      <c r="N6" s="346"/>
      <c r="O6" s="489"/>
      <c r="P6" s="309">
        <f>P10</f>
        <v>133362.39</v>
      </c>
    </row>
    <row r="7" spans="1:16" ht="15.75" thickBot="1">
      <c r="A7" s="2"/>
      <c r="B7" s="526"/>
      <c r="C7" s="527"/>
      <c r="D7" s="527"/>
      <c r="E7" s="528"/>
      <c r="F7" s="529"/>
      <c r="G7" s="529"/>
      <c r="H7" s="529"/>
      <c r="I7" s="529"/>
      <c r="J7" s="529"/>
      <c r="K7" s="529"/>
      <c r="L7" s="529"/>
      <c r="M7" s="529"/>
      <c r="N7" s="530"/>
      <c r="O7" s="530"/>
      <c r="P7" s="531"/>
    </row>
    <row r="8" spans="1:16" ht="75.75" thickBot="1">
      <c r="A8" s="4"/>
      <c r="B8" s="523" t="s">
        <v>3</v>
      </c>
      <c r="C8" s="524"/>
      <c r="D8" s="524"/>
      <c r="E8" s="525"/>
      <c r="F8" s="532" t="s">
        <v>4</v>
      </c>
      <c r="G8" s="533"/>
      <c r="H8" s="175" t="s">
        <v>5</v>
      </c>
      <c r="I8" s="532" t="s">
        <v>6</v>
      </c>
      <c r="J8" s="533"/>
      <c r="K8" s="176" t="s">
        <v>7</v>
      </c>
      <c r="L8" s="175" t="s">
        <v>8</v>
      </c>
      <c r="M8" s="317" t="s">
        <v>9</v>
      </c>
      <c r="N8" s="315" t="s">
        <v>10</v>
      </c>
      <c r="O8" s="178" t="s">
        <v>11</v>
      </c>
      <c r="P8" s="179"/>
    </row>
    <row r="9" spans="1:16" ht="18" customHeight="1" thickBot="1">
      <c r="A9" s="2"/>
      <c r="B9" s="490" t="s">
        <v>12</v>
      </c>
      <c r="C9" s="491"/>
      <c r="D9" s="491"/>
      <c r="E9" s="492"/>
      <c r="F9" s="330">
        <v>0</v>
      </c>
      <c r="G9" s="331"/>
      <c r="H9" s="3">
        <v>0</v>
      </c>
      <c r="I9" s="330">
        <v>0</v>
      </c>
      <c r="J9" s="331"/>
      <c r="K9" s="78">
        <v>0</v>
      </c>
      <c r="L9" s="3">
        <v>0</v>
      </c>
      <c r="M9" s="308">
        <v>0</v>
      </c>
      <c r="N9" s="3">
        <v>0</v>
      </c>
      <c r="O9" s="75">
        <v>0</v>
      </c>
      <c r="P9" s="309">
        <v>0</v>
      </c>
    </row>
    <row r="10" spans="1:16" ht="24.75" customHeight="1" thickBot="1">
      <c r="A10" s="2"/>
      <c r="B10" s="490" t="s">
        <v>13</v>
      </c>
      <c r="C10" s="491"/>
      <c r="D10" s="491"/>
      <c r="E10" s="492"/>
      <c r="F10" s="330">
        <v>-236532.61</v>
      </c>
      <c r="G10" s="331"/>
      <c r="H10" s="3">
        <v>0</v>
      </c>
      <c r="I10" s="330">
        <v>0</v>
      </c>
      <c r="J10" s="331"/>
      <c r="K10" s="78">
        <v>0</v>
      </c>
      <c r="L10" s="3">
        <v>358903.51</v>
      </c>
      <c r="M10" s="308">
        <v>0</v>
      </c>
      <c r="N10" s="3">
        <v>0</v>
      </c>
      <c r="O10" s="3">
        <v>10991.49</v>
      </c>
      <c r="P10" s="309">
        <f>SUM(F10:O10)</f>
        <v>133362.39</v>
      </c>
    </row>
    <row r="11" spans="1:16" ht="15.75" thickBot="1">
      <c r="A11" s="311"/>
      <c r="B11" s="546"/>
      <c r="C11" s="547"/>
      <c r="D11" s="547"/>
      <c r="E11" s="547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9"/>
    </row>
    <row r="12" spans="1:16" ht="15">
      <c r="A12" s="446"/>
      <c r="B12" s="550" t="s">
        <v>14</v>
      </c>
      <c r="C12" s="551"/>
      <c r="D12" s="551"/>
      <c r="E12" s="552"/>
      <c r="F12" s="534"/>
      <c r="G12" s="556" t="s">
        <v>15</v>
      </c>
      <c r="H12" s="548"/>
      <c r="I12" s="548"/>
      <c r="J12" s="548"/>
      <c r="K12" s="549"/>
      <c r="L12" s="534" t="s">
        <v>16</v>
      </c>
      <c r="M12" s="534" t="s">
        <v>17</v>
      </c>
      <c r="N12" s="534" t="s">
        <v>18</v>
      </c>
      <c r="O12" s="534" t="s">
        <v>19</v>
      </c>
      <c r="P12" s="534" t="s">
        <v>20</v>
      </c>
    </row>
    <row r="13" spans="1:16" ht="15.75" thickBot="1">
      <c r="A13" s="447"/>
      <c r="B13" s="553"/>
      <c r="C13" s="554"/>
      <c r="D13" s="554"/>
      <c r="E13" s="555"/>
      <c r="F13" s="535"/>
      <c r="G13" s="557"/>
      <c r="H13" s="558"/>
      <c r="I13" s="558"/>
      <c r="J13" s="558"/>
      <c r="K13" s="559"/>
      <c r="L13" s="535"/>
      <c r="M13" s="535"/>
      <c r="N13" s="535"/>
      <c r="O13" s="535"/>
      <c r="P13" s="535"/>
    </row>
    <row r="14" spans="1:16" ht="15.75" thickBot="1">
      <c r="A14" s="2"/>
      <c r="B14" s="536" t="s">
        <v>21</v>
      </c>
      <c r="C14" s="537"/>
      <c r="D14" s="538"/>
      <c r="E14" s="180" t="s">
        <v>22</v>
      </c>
      <c r="F14" s="321">
        <v>3</v>
      </c>
      <c r="G14" s="539">
        <v>4</v>
      </c>
      <c r="H14" s="529"/>
      <c r="I14" s="529"/>
      <c r="J14" s="531"/>
      <c r="K14" s="182">
        <v>5</v>
      </c>
      <c r="L14" s="320">
        <v>6</v>
      </c>
      <c r="M14" s="175">
        <v>7</v>
      </c>
      <c r="N14" s="320">
        <v>8</v>
      </c>
      <c r="O14" s="320">
        <v>9</v>
      </c>
      <c r="P14" s="175">
        <v>10</v>
      </c>
    </row>
    <row r="15" spans="1:16" ht="29.25" thickBot="1">
      <c r="A15" s="446"/>
      <c r="B15" s="540" t="s">
        <v>23</v>
      </c>
      <c r="C15" s="541"/>
      <c r="D15" s="542"/>
      <c r="E15" s="8" t="s">
        <v>24</v>
      </c>
      <c r="F15" s="8" t="s">
        <v>25</v>
      </c>
      <c r="G15" s="471" t="s">
        <v>26</v>
      </c>
      <c r="H15" s="472"/>
      <c r="I15" s="472"/>
      <c r="J15" s="473"/>
      <c r="K15" s="79" t="s">
        <v>27</v>
      </c>
      <c r="L15" s="9" t="s">
        <v>26</v>
      </c>
      <c r="M15" s="10" t="s">
        <v>28</v>
      </c>
      <c r="N15" s="10" t="s">
        <v>26</v>
      </c>
      <c r="O15" s="10" t="s">
        <v>26</v>
      </c>
      <c r="P15" s="11" t="s">
        <v>26</v>
      </c>
    </row>
    <row r="16" spans="1:16" ht="35.25" customHeight="1" thickBot="1">
      <c r="A16" s="447"/>
      <c r="B16" s="543"/>
      <c r="C16" s="544"/>
      <c r="D16" s="545"/>
      <c r="E16" s="109">
        <f>SUM(E17:E23)</f>
        <v>1608271</v>
      </c>
      <c r="F16" s="110">
        <f>SUM(F17:F23)</f>
        <v>17510870</v>
      </c>
      <c r="G16" s="474">
        <f>G17+G18+G19+G20+G21+G22+G23</f>
        <v>2612753.63</v>
      </c>
      <c r="H16" s="475"/>
      <c r="I16" s="475"/>
      <c r="J16" s="476"/>
      <c r="K16" s="314">
        <f>SUM(K17:K23)</f>
        <v>2612753.63</v>
      </c>
      <c r="L16" s="314">
        <f>SUM(L17:L23)</f>
        <v>19652493.830000002</v>
      </c>
      <c r="M16" s="314">
        <f>SUM(M17:M23)</f>
        <v>-1004482.6299999999</v>
      </c>
      <c r="N16" s="314">
        <f>SUM(N17:N23)</f>
        <v>-2141623.829999999</v>
      </c>
      <c r="O16" s="12">
        <v>0</v>
      </c>
      <c r="P16" s="12">
        <v>0</v>
      </c>
    </row>
    <row r="17" spans="1:18" ht="59.25" customHeight="1" thickBot="1">
      <c r="A17" s="184" t="s">
        <v>195</v>
      </c>
      <c r="B17" s="497" t="s">
        <v>146</v>
      </c>
      <c r="C17" s="498"/>
      <c r="D17" s="499"/>
      <c r="E17" s="108">
        <v>839544</v>
      </c>
      <c r="F17" s="108">
        <f>8919026+E17</f>
        <v>9758570</v>
      </c>
      <c r="G17" s="450">
        <v>2394138.11</v>
      </c>
      <c r="H17" s="451"/>
      <c r="I17" s="451"/>
      <c r="J17" s="452"/>
      <c r="K17" s="313">
        <f>G17</f>
        <v>2394138.11</v>
      </c>
      <c r="L17" s="15">
        <f>10702375.17+K17</f>
        <v>13096513.28</v>
      </c>
      <c r="M17" s="119">
        <f>E17-K17</f>
        <v>-1554594.1099999999</v>
      </c>
      <c r="N17" s="124">
        <f>F17-L17</f>
        <v>-3337943.2799999993</v>
      </c>
      <c r="O17" s="16">
        <v>0</v>
      </c>
      <c r="P17" s="16">
        <v>0</v>
      </c>
      <c r="Q17" s="173"/>
      <c r="R17" s="18">
        <v>365352.1499999948</v>
      </c>
    </row>
    <row r="18" spans="1:18" ht="44.25" customHeight="1" thickBot="1">
      <c r="A18" s="185" t="s">
        <v>196</v>
      </c>
      <c r="B18" s="566" t="s">
        <v>216</v>
      </c>
      <c r="C18" s="567"/>
      <c r="D18" s="568"/>
      <c r="E18" s="104">
        <v>757727</v>
      </c>
      <c r="F18" s="108">
        <f>6892573+E18</f>
        <v>7650300</v>
      </c>
      <c r="G18" s="450"/>
      <c r="H18" s="451"/>
      <c r="I18" s="451"/>
      <c r="J18" s="452"/>
      <c r="K18" s="313">
        <f>G18</f>
        <v>0</v>
      </c>
      <c r="L18" s="15">
        <f>4722000+K18</f>
        <v>4722000</v>
      </c>
      <c r="M18" s="119">
        <f>E18-K18</f>
        <v>757727</v>
      </c>
      <c r="N18" s="124">
        <f>F18-L18</f>
        <v>2928300</v>
      </c>
      <c r="O18" s="16">
        <v>0</v>
      </c>
      <c r="P18" s="16">
        <v>0</v>
      </c>
      <c r="Q18" s="173"/>
      <c r="R18" s="173"/>
    </row>
    <row r="19" spans="1:18" ht="41.25" customHeight="1" thickBot="1">
      <c r="A19" s="185" t="s">
        <v>197</v>
      </c>
      <c r="B19" s="569" t="s">
        <v>149</v>
      </c>
      <c r="C19" s="570"/>
      <c r="D19" s="571"/>
      <c r="E19" s="186"/>
      <c r="F19" s="108">
        <f>0+E19</f>
        <v>0</v>
      </c>
      <c r="G19" s="450"/>
      <c r="H19" s="451"/>
      <c r="I19" s="451"/>
      <c r="J19" s="452"/>
      <c r="K19" s="313">
        <f>G19</f>
        <v>0</v>
      </c>
      <c r="L19" s="15">
        <f>166320+K19</f>
        <v>166320</v>
      </c>
      <c r="M19" s="119">
        <f aca="true" t="shared" si="0" ref="M19:N23">E19-K19</f>
        <v>0</v>
      </c>
      <c r="N19" s="124">
        <f t="shared" si="0"/>
        <v>-166320</v>
      </c>
      <c r="O19" s="16">
        <v>0</v>
      </c>
      <c r="P19" s="17">
        <v>0</v>
      </c>
      <c r="Q19" s="173"/>
      <c r="R19" s="173"/>
    </row>
    <row r="20" spans="1:18" ht="60.75" customHeight="1" thickBot="1">
      <c r="A20" s="187" t="s">
        <v>198</v>
      </c>
      <c r="B20" s="560" t="s">
        <v>147</v>
      </c>
      <c r="C20" s="561"/>
      <c r="D20" s="562"/>
      <c r="E20" s="188"/>
      <c r="F20" s="108">
        <f>0+E20</f>
        <v>0</v>
      </c>
      <c r="G20" s="450"/>
      <c r="H20" s="451"/>
      <c r="I20" s="451"/>
      <c r="J20" s="452"/>
      <c r="K20" s="313">
        <f>G20</f>
        <v>0</v>
      </c>
      <c r="L20" s="15">
        <f>0+K20</f>
        <v>0</v>
      </c>
      <c r="M20" s="119">
        <f t="shared" si="0"/>
        <v>0</v>
      </c>
      <c r="N20" s="124">
        <f t="shared" si="0"/>
        <v>0</v>
      </c>
      <c r="O20" s="16">
        <v>0</v>
      </c>
      <c r="P20" s="16">
        <v>0</v>
      </c>
      <c r="Q20" s="18"/>
      <c r="R20" s="18"/>
    </row>
    <row r="21" spans="1:18" ht="34.5" customHeight="1" thickBot="1">
      <c r="A21" s="189" t="s">
        <v>199</v>
      </c>
      <c r="B21" s="563" t="s">
        <v>148</v>
      </c>
      <c r="C21" s="564"/>
      <c r="D21" s="565"/>
      <c r="E21" s="190"/>
      <c r="F21" s="108">
        <f>0+E21</f>
        <v>0</v>
      </c>
      <c r="G21" s="450"/>
      <c r="H21" s="451"/>
      <c r="I21" s="451"/>
      <c r="J21" s="452"/>
      <c r="K21" s="313">
        <f>G21</f>
        <v>0</v>
      </c>
      <c r="L21" s="15">
        <f>0+K21</f>
        <v>0</v>
      </c>
      <c r="M21" s="119">
        <f t="shared" si="0"/>
        <v>0</v>
      </c>
      <c r="N21" s="124">
        <f t="shared" si="0"/>
        <v>0</v>
      </c>
      <c r="O21" s="16">
        <v>0</v>
      </c>
      <c r="P21" s="16">
        <v>0</v>
      </c>
      <c r="Q21" s="18"/>
      <c r="R21" s="173"/>
    </row>
    <row r="22" spans="1:18" ht="39" customHeight="1" thickBot="1">
      <c r="A22" s="189" t="s">
        <v>200</v>
      </c>
      <c r="B22" s="497" t="s">
        <v>201</v>
      </c>
      <c r="C22" s="498"/>
      <c r="D22" s="499"/>
      <c r="E22" s="82">
        <v>11000</v>
      </c>
      <c r="F22" s="108">
        <f>91000+E22</f>
        <v>102000</v>
      </c>
      <c r="G22" s="450">
        <v>20255.6</v>
      </c>
      <c r="H22" s="451"/>
      <c r="I22" s="451"/>
      <c r="J22" s="452"/>
      <c r="K22" s="313">
        <f>G22</f>
        <v>20255.6</v>
      </c>
      <c r="L22" s="15">
        <f>86594.08+K22</f>
        <v>106849.68</v>
      </c>
      <c r="M22" s="119">
        <f>E22-K22</f>
        <v>-9255.599999999999</v>
      </c>
      <c r="N22" s="124">
        <f t="shared" si="0"/>
        <v>-4849.679999999993</v>
      </c>
      <c r="O22" s="16">
        <v>0</v>
      </c>
      <c r="P22" s="16">
        <v>0</v>
      </c>
      <c r="Q22" s="173"/>
      <c r="R22" s="173"/>
    </row>
    <row r="23" spans="1:18" ht="48" customHeight="1" thickBot="1">
      <c r="A23" s="189" t="s">
        <v>202</v>
      </c>
      <c r="B23" s="572" t="s">
        <v>140</v>
      </c>
      <c r="C23" s="573"/>
      <c r="D23" s="574"/>
      <c r="E23" s="14"/>
      <c r="F23" s="108"/>
      <c r="G23" s="450">
        <v>198359.92</v>
      </c>
      <c r="H23" s="451"/>
      <c r="I23" s="451"/>
      <c r="J23" s="452"/>
      <c r="K23" s="313">
        <f>G23</f>
        <v>198359.92</v>
      </c>
      <c r="L23" s="15">
        <f>1362450.95+K23</f>
        <v>1560810.8699999999</v>
      </c>
      <c r="M23" s="119">
        <f t="shared" si="0"/>
        <v>-198359.92</v>
      </c>
      <c r="N23" s="124">
        <f t="shared" si="0"/>
        <v>-1560810.8699999999</v>
      </c>
      <c r="O23" s="16">
        <v>0</v>
      </c>
      <c r="P23" s="16">
        <v>0</v>
      </c>
      <c r="Q23" s="173"/>
      <c r="R23" s="173"/>
    </row>
    <row r="24" spans="1:18" ht="15">
      <c r="A24" s="446"/>
      <c r="B24" s="575" t="s">
        <v>30</v>
      </c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7"/>
      <c r="Q24" s="173"/>
      <c r="R24" s="173"/>
    </row>
    <row r="25" spans="1:18" ht="6.75" customHeight="1" thickBot="1">
      <c r="A25" s="447"/>
      <c r="B25" s="578"/>
      <c r="C25" s="579"/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579"/>
      <c r="P25" s="580"/>
      <c r="Q25" s="173"/>
      <c r="R25" s="173"/>
    </row>
    <row r="26" spans="1:18" ht="15.75" thickBot="1">
      <c r="A26" s="446"/>
      <c r="B26" s="550" t="s">
        <v>14</v>
      </c>
      <c r="C26" s="551"/>
      <c r="D26" s="552"/>
      <c r="E26" s="581" t="s">
        <v>24</v>
      </c>
      <c r="F26" s="583" t="s">
        <v>25</v>
      </c>
      <c r="G26" s="532" t="s">
        <v>31</v>
      </c>
      <c r="H26" s="522"/>
      <c r="I26" s="522"/>
      <c r="J26" s="522"/>
      <c r="K26" s="533"/>
      <c r="L26" s="534" t="s">
        <v>16</v>
      </c>
      <c r="M26" s="534" t="s">
        <v>17</v>
      </c>
      <c r="N26" s="534" t="s">
        <v>18</v>
      </c>
      <c r="O26" s="534" t="s">
        <v>19</v>
      </c>
      <c r="P26" s="534" t="s">
        <v>20</v>
      </c>
      <c r="Q26" s="173"/>
      <c r="R26" s="173"/>
    </row>
    <row r="27" spans="1:18" ht="88.5" customHeight="1" thickBot="1">
      <c r="A27" s="447"/>
      <c r="B27" s="553"/>
      <c r="C27" s="554"/>
      <c r="D27" s="555"/>
      <c r="E27" s="582"/>
      <c r="F27" s="584"/>
      <c r="G27" s="316" t="s">
        <v>32</v>
      </c>
      <c r="H27" s="316" t="s">
        <v>33</v>
      </c>
      <c r="I27" s="316" t="s">
        <v>34</v>
      </c>
      <c r="J27" s="175" t="s">
        <v>220</v>
      </c>
      <c r="K27" s="176" t="s">
        <v>27</v>
      </c>
      <c r="L27" s="535"/>
      <c r="M27" s="535"/>
      <c r="N27" s="535"/>
      <c r="O27" s="535"/>
      <c r="P27" s="535"/>
      <c r="Q27" s="173"/>
      <c r="R27" s="18">
        <v>365352.1499999948</v>
      </c>
    </row>
    <row r="28" spans="1:18" ht="15.75" thickBot="1">
      <c r="A28" s="2"/>
      <c r="B28" s="536">
        <v>1</v>
      </c>
      <c r="C28" s="537"/>
      <c r="D28" s="538"/>
      <c r="E28" s="180" t="s">
        <v>22</v>
      </c>
      <c r="F28" s="316">
        <v>3</v>
      </c>
      <c r="G28" s="316">
        <v>4</v>
      </c>
      <c r="H28" s="316">
        <v>5</v>
      </c>
      <c r="I28" s="175">
        <v>6</v>
      </c>
      <c r="J28" s="175">
        <v>7</v>
      </c>
      <c r="K28" s="192">
        <v>8</v>
      </c>
      <c r="L28" s="320">
        <v>9</v>
      </c>
      <c r="M28" s="175">
        <v>10</v>
      </c>
      <c r="N28" s="320">
        <v>11</v>
      </c>
      <c r="O28" s="175">
        <v>12</v>
      </c>
      <c r="P28" s="320">
        <v>13</v>
      </c>
      <c r="Q28" s="173"/>
      <c r="R28" s="173"/>
    </row>
    <row r="29" spans="1:18" ht="15.75" thickBot="1">
      <c r="A29" s="2"/>
      <c r="B29" s="539" t="s">
        <v>23</v>
      </c>
      <c r="C29" s="529"/>
      <c r="D29" s="531"/>
      <c r="E29" s="76">
        <f>E30+E34+E38+E44+E51+E54+E64+E67+E71+E74+E78+E80+E88+E101+E132+E135+E138+E141</f>
        <v>1608271</v>
      </c>
      <c r="F29" s="76">
        <f>F30+F34+F38+F44+F51+F54+F64+F67+F71+F74+F78+F80+F88+F101+F132+F135+F138+F141</f>
        <v>17496619</v>
      </c>
      <c r="G29" s="76">
        <f>G30+G34+G38+G44+G51+G54+G64+G67+G71+G74+G78+G80+G88+G101+G132+G135+G138+G141</f>
        <v>2388711.35</v>
      </c>
      <c r="H29" s="76">
        <f>H30+H34+H38+H44+H51+H54+H64+H67+H71+H74+H78+H80+H88+H101+H132+H135+H138+H141</f>
        <v>0</v>
      </c>
      <c r="I29" s="76">
        <f>I30+I34+I38+I44+I51+I54+I64+I67+I71+I74+I78+I80+I88+I101+I132+I135+I138+I141</f>
        <v>0</v>
      </c>
      <c r="J29" s="76">
        <f>J30+J34+J38+J44+J51+J54+J64+J67+J71+J74+J78+J80+J88+J101+J132+J135+J138+J141</f>
        <v>348024.43</v>
      </c>
      <c r="K29" s="76">
        <f>K30+K34+K38+K44+K51+K54+K64+K67+K71+K74+K78+K80+K88+K101+K132+K135+K138+K141</f>
        <v>2736735.7800000003</v>
      </c>
      <c r="L29" s="76">
        <f>L30+L34+L38+L44+L51+L54+L64+L67+L71+L74+L78+L80+L88+L101+L132+L135+L138+L141</f>
        <v>20008465.749999996</v>
      </c>
      <c r="M29" s="76">
        <f>M30+M34+M38+M44+M51+M54+M64+M67+M71+M74+M78+M80+M88+M101+M132+M135+M138+M141</f>
        <v>-1128464.78</v>
      </c>
      <c r="N29" s="76">
        <f>N30+N34+N38+N44+N51+N54+N64+N67+N71+N74+N78+N80+N88+N101+N132+N135+N138+N141</f>
        <v>-2511846.750000001</v>
      </c>
      <c r="O29" s="21">
        <v>0</v>
      </c>
      <c r="P29" s="21">
        <v>0</v>
      </c>
      <c r="Q29" s="173"/>
      <c r="R29" s="18"/>
    </row>
    <row r="30" spans="1:18" ht="22.5" customHeight="1" thickBot="1">
      <c r="A30" s="22" t="s">
        <v>21</v>
      </c>
      <c r="B30" s="426" t="s">
        <v>36</v>
      </c>
      <c r="C30" s="338"/>
      <c r="D30" s="339"/>
      <c r="E30" s="111">
        <f>SUM(E31:E32)</f>
        <v>847724</v>
      </c>
      <c r="F30" s="81">
        <f>F31+F32+F33</f>
        <v>9576709</v>
      </c>
      <c r="G30" s="20">
        <f>G31+G32+G33</f>
        <v>1328451.04</v>
      </c>
      <c r="H30" s="20">
        <f>H31</f>
        <v>0</v>
      </c>
      <c r="I30" s="20"/>
      <c r="J30" s="20"/>
      <c r="K30" s="81">
        <f>G30+H30</f>
        <v>1328451.04</v>
      </c>
      <c r="L30" s="23">
        <f>L31+L32</f>
        <v>9162854.46</v>
      </c>
      <c r="M30" s="120">
        <f>E30-K30</f>
        <v>-480727.04000000004</v>
      </c>
      <c r="N30" s="122">
        <f>F30-L30</f>
        <v>413854.5399999991</v>
      </c>
      <c r="O30" s="26">
        <v>0</v>
      </c>
      <c r="P30" s="27">
        <v>0</v>
      </c>
      <c r="Q30" s="18"/>
      <c r="R30" s="18"/>
    </row>
    <row r="31" spans="1:18" ht="21.75" customHeight="1" thickBot="1">
      <c r="A31" s="29" t="s">
        <v>150</v>
      </c>
      <c r="B31" s="430" t="s">
        <v>151</v>
      </c>
      <c r="C31" s="431"/>
      <c r="D31" s="432"/>
      <c r="E31" s="112">
        <v>619780</v>
      </c>
      <c r="F31" s="108">
        <f>5617569+E31</f>
        <v>6237349</v>
      </c>
      <c r="G31" s="33"/>
      <c r="H31" s="33"/>
      <c r="I31" s="33"/>
      <c r="J31" s="33"/>
      <c r="K31" s="82">
        <f>H31</f>
        <v>0</v>
      </c>
      <c r="L31" s="15">
        <f>3801160+K31</f>
        <v>3801160</v>
      </c>
      <c r="M31" s="119">
        <f>E31-K31</f>
        <v>619780</v>
      </c>
      <c r="N31" s="121">
        <f>F31-L31</f>
        <v>2436189</v>
      </c>
      <c r="O31" s="31">
        <v>0</v>
      </c>
      <c r="P31" s="123">
        <v>0</v>
      </c>
      <c r="Q31" s="18"/>
      <c r="R31" s="18"/>
    </row>
    <row r="32" spans="1:18" ht="33.75" customHeight="1" thickBot="1">
      <c r="A32" s="29" t="s">
        <v>153</v>
      </c>
      <c r="B32" s="340" t="s">
        <v>152</v>
      </c>
      <c r="C32" s="341"/>
      <c r="D32" s="342"/>
      <c r="E32" s="112">
        <v>227944</v>
      </c>
      <c r="F32" s="108">
        <f>3111416+E32</f>
        <v>3339360</v>
      </c>
      <c r="G32" s="33">
        <v>1328451.04</v>
      </c>
      <c r="H32" s="33"/>
      <c r="I32" s="33"/>
      <c r="J32" s="33"/>
      <c r="K32" s="15">
        <f>0+G32</f>
        <v>1328451.04</v>
      </c>
      <c r="L32" s="15">
        <f>4033243.42+K32</f>
        <v>5361694.46</v>
      </c>
      <c r="M32" s="119">
        <f>E32-K32</f>
        <v>-1100507.04</v>
      </c>
      <c r="N32" s="121">
        <f>F32-L32</f>
        <v>-2022334.46</v>
      </c>
      <c r="O32" s="31">
        <v>0</v>
      </c>
      <c r="P32" s="123">
        <v>0</v>
      </c>
      <c r="Q32" s="18"/>
      <c r="R32" s="18"/>
    </row>
    <row r="33" spans="1:18" ht="15.75" thickBot="1">
      <c r="A33" s="29" t="s">
        <v>155</v>
      </c>
      <c r="B33" s="340" t="s">
        <v>154</v>
      </c>
      <c r="C33" s="341"/>
      <c r="D33" s="342"/>
      <c r="E33" s="322"/>
      <c r="F33" s="15"/>
      <c r="G33" s="33"/>
      <c r="H33" s="33"/>
      <c r="I33" s="33"/>
      <c r="J33" s="33"/>
      <c r="K33" s="82"/>
      <c r="L33" s="15"/>
      <c r="M33" s="193"/>
      <c r="N33" s="194"/>
      <c r="O33" s="31"/>
      <c r="P33" s="123"/>
      <c r="Q33" s="18"/>
      <c r="R33" s="18"/>
    </row>
    <row r="34" spans="1:18" ht="30" customHeight="1" thickBot="1">
      <c r="A34" s="128" t="s">
        <v>22</v>
      </c>
      <c r="B34" s="395" t="s">
        <v>37</v>
      </c>
      <c r="C34" s="396"/>
      <c r="D34" s="397"/>
      <c r="E34" s="81">
        <f>SUM(E35:E37)</f>
        <v>171241</v>
      </c>
      <c r="F34" s="81">
        <f>F35+F36+F37</f>
        <v>1934495</v>
      </c>
      <c r="G34" s="20">
        <f>G35+G36+G37</f>
        <v>285749.36</v>
      </c>
      <c r="H34" s="20">
        <f>H35</f>
        <v>0</v>
      </c>
      <c r="I34" s="20"/>
      <c r="J34" s="20"/>
      <c r="K34" s="81">
        <f>G34+H34</f>
        <v>285749.36</v>
      </c>
      <c r="L34" s="23">
        <f>L35+L36</f>
        <v>1824664.69</v>
      </c>
      <c r="M34" s="120">
        <f aca="true" t="shared" si="1" ref="M34:N36">E34-K34</f>
        <v>-114508.35999999999</v>
      </c>
      <c r="N34" s="125">
        <f t="shared" si="1"/>
        <v>109830.31000000006</v>
      </c>
      <c r="O34" s="26">
        <v>0</v>
      </c>
      <c r="P34" s="27">
        <v>0</v>
      </c>
      <c r="Q34" s="173"/>
      <c r="R34" s="173"/>
    </row>
    <row r="35" spans="1:18" ht="23.25" customHeight="1" thickBot="1">
      <c r="A35" s="29" t="s">
        <v>156</v>
      </c>
      <c r="B35" s="430" t="s">
        <v>151</v>
      </c>
      <c r="C35" s="431"/>
      <c r="D35" s="432"/>
      <c r="E35" s="82">
        <v>125196</v>
      </c>
      <c r="F35" s="108">
        <f>1134749+E35</f>
        <v>1259945</v>
      </c>
      <c r="G35" s="33"/>
      <c r="H35" s="33"/>
      <c r="I35" s="33"/>
      <c r="J35" s="33"/>
      <c r="K35" s="82">
        <f>H35</f>
        <v>0</v>
      </c>
      <c r="L35" s="15">
        <f>767834+K35</f>
        <v>767834</v>
      </c>
      <c r="M35" s="119">
        <f t="shared" si="1"/>
        <v>125196</v>
      </c>
      <c r="N35" s="121">
        <f t="shared" si="1"/>
        <v>492111</v>
      </c>
      <c r="O35" s="31">
        <v>0</v>
      </c>
      <c r="P35" s="123">
        <v>0</v>
      </c>
      <c r="Q35" s="173"/>
      <c r="R35" s="248">
        <f>10506304-F29</f>
        <v>-6990315</v>
      </c>
    </row>
    <row r="36" spans="1:18" ht="29.25" customHeight="1" thickBot="1">
      <c r="A36" s="29" t="s">
        <v>157</v>
      </c>
      <c r="B36" s="340" t="s">
        <v>152</v>
      </c>
      <c r="C36" s="341"/>
      <c r="D36" s="342"/>
      <c r="E36" s="82">
        <v>46045</v>
      </c>
      <c r="F36" s="108">
        <f>628505+E36</f>
        <v>674550</v>
      </c>
      <c r="G36" s="33">
        <v>285749.36</v>
      </c>
      <c r="H36" s="33"/>
      <c r="I36" s="33"/>
      <c r="J36" s="33"/>
      <c r="K36" s="82">
        <f>G36</f>
        <v>285749.36</v>
      </c>
      <c r="L36" s="15">
        <f>771081.33+K36</f>
        <v>1056830.69</v>
      </c>
      <c r="M36" s="119">
        <f t="shared" si="1"/>
        <v>-239704.36</v>
      </c>
      <c r="N36" s="121">
        <f t="shared" si="1"/>
        <v>-382280.68999999994</v>
      </c>
      <c r="O36" s="31">
        <v>0</v>
      </c>
      <c r="P36" s="123">
        <v>0</v>
      </c>
      <c r="Q36" s="173"/>
      <c r="R36" s="173"/>
    </row>
    <row r="37" spans="1:18" ht="15.75" thickBot="1">
      <c r="A37" s="29" t="s">
        <v>158</v>
      </c>
      <c r="B37" s="340" t="s">
        <v>154</v>
      </c>
      <c r="C37" s="341"/>
      <c r="D37" s="342"/>
      <c r="E37" s="82"/>
      <c r="F37" s="108"/>
      <c r="G37" s="33"/>
      <c r="H37" s="33"/>
      <c r="I37" s="33"/>
      <c r="J37" s="33"/>
      <c r="K37" s="82"/>
      <c r="L37" s="15"/>
      <c r="M37" s="193"/>
      <c r="N37" s="195"/>
      <c r="O37" s="31"/>
      <c r="P37" s="123"/>
      <c r="Q37" s="173"/>
      <c r="R37" s="173"/>
    </row>
    <row r="38" spans="1:18" ht="27.75" customHeight="1" thickBot="1">
      <c r="A38" s="22" t="s">
        <v>38</v>
      </c>
      <c r="B38" s="395" t="s">
        <v>39</v>
      </c>
      <c r="C38" s="396"/>
      <c r="D38" s="397"/>
      <c r="E38" s="81">
        <f>SUM(E41:E43)</f>
        <v>4500</v>
      </c>
      <c r="F38" s="114">
        <f>F41+F42+F43</f>
        <v>57000</v>
      </c>
      <c r="G38" s="20">
        <f>G40</f>
        <v>5245.34</v>
      </c>
      <c r="H38" s="20"/>
      <c r="I38" s="20"/>
      <c r="J38" s="20"/>
      <c r="K38" s="23">
        <f>K39+K40</f>
        <v>5245.34</v>
      </c>
      <c r="L38" s="23">
        <f>L40+L39</f>
        <v>55896.72</v>
      </c>
      <c r="M38" s="120">
        <f>E38-K38</f>
        <v>-745.3400000000001</v>
      </c>
      <c r="N38" s="122">
        <f>F38-L38</f>
        <v>1103.2799999999988</v>
      </c>
      <c r="O38" s="26">
        <v>0</v>
      </c>
      <c r="P38" s="27">
        <v>0</v>
      </c>
      <c r="Q38" s="173"/>
      <c r="R38" s="173"/>
    </row>
    <row r="39" spans="1:18" ht="15.75" thickBot="1">
      <c r="A39" s="29" t="s">
        <v>159</v>
      </c>
      <c r="B39" s="430" t="s">
        <v>151</v>
      </c>
      <c r="C39" s="431"/>
      <c r="D39" s="432"/>
      <c r="E39" s="15"/>
      <c r="F39" s="108"/>
      <c r="G39" s="33"/>
      <c r="H39" s="33"/>
      <c r="I39" s="33"/>
      <c r="J39" s="33"/>
      <c r="K39" s="82"/>
      <c r="L39" s="15"/>
      <c r="M39" s="193"/>
      <c r="N39" s="195"/>
      <c r="O39" s="31"/>
      <c r="P39" s="123"/>
      <c r="Q39" s="173"/>
      <c r="R39" s="173"/>
    </row>
    <row r="40" spans="1:18" ht="30" customHeight="1" thickBot="1">
      <c r="A40" s="29" t="s">
        <v>160</v>
      </c>
      <c r="B40" s="340" t="s">
        <v>152</v>
      </c>
      <c r="C40" s="341"/>
      <c r="D40" s="342"/>
      <c r="E40" s="82">
        <v>4500</v>
      </c>
      <c r="F40" s="108">
        <f>52500+E40</f>
        <v>57000</v>
      </c>
      <c r="G40" s="33">
        <f>G41+G42</f>
        <v>5245.34</v>
      </c>
      <c r="H40" s="33"/>
      <c r="I40" s="33"/>
      <c r="J40" s="33"/>
      <c r="K40" s="15">
        <f>0+G40</f>
        <v>5245.34</v>
      </c>
      <c r="L40" s="15">
        <f>L41+L42+L43</f>
        <v>55896.72</v>
      </c>
      <c r="M40" s="119">
        <f aca="true" t="shared" si="2" ref="M40:N55">E40-K40</f>
        <v>-745.3400000000001</v>
      </c>
      <c r="N40" s="121">
        <f t="shared" si="2"/>
        <v>1103.2799999999988</v>
      </c>
      <c r="O40" s="31">
        <v>0</v>
      </c>
      <c r="P40" s="123">
        <v>0</v>
      </c>
      <c r="Q40" s="173"/>
      <c r="R40" s="173"/>
    </row>
    <row r="41" spans="1:18" ht="15.75" thickBot="1">
      <c r="A41" s="29" t="s">
        <v>40</v>
      </c>
      <c r="B41" s="427" t="s">
        <v>41</v>
      </c>
      <c r="C41" s="428"/>
      <c r="D41" s="429"/>
      <c r="E41" s="108">
        <v>2281</v>
      </c>
      <c r="F41" s="108">
        <f>25091+E41</f>
        <v>27372</v>
      </c>
      <c r="G41" s="33">
        <v>3026.34</v>
      </c>
      <c r="H41" s="33"/>
      <c r="I41" s="33"/>
      <c r="J41" s="33"/>
      <c r="K41" s="15">
        <f>0+G41</f>
        <v>3026.34</v>
      </c>
      <c r="L41" s="15">
        <f>26242.38+K41</f>
        <v>29268.72</v>
      </c>
      <c r="M41" s="119">
        <f t="shared" si="2"/>
        <v>-745.3400000000001</v>
      </c>
      <c r="N41" s="121">
        <f t="shared" si="2"/>
        <v>-1896.7200000000012</v>
      </c>
      <c r="O41" s="31">
        <v>0</v>
      </c>
      <c r="P41" s="123">
        <v>0</v>
      </c>
      <c r="Q41" s="173"/>
      <c r="R41" s="173"/>
    </row>
    <row r="42" spans="1:18" ht="15.75" thickBot="1">
      <c r="A42" s="29" t="s">
        <v>42</v>
      </c>
      <c r="B42" s="427" t="s">
        <v>43</v>
      </c>
      <c r="C42" s="428"/>
      <c r="D42" s="429"/>
      <c r="E42" s="108">
        <v>2219</v>
      </c>
      <c r="F42" s="108">
        <f>24409+E42</f>
        <v>26628</v>
      </c>
      <c r="G42" s="33">
        <v>2219</v>
      </c>
      <c r="H42" s="33"/>
      <c r="I42" s="33"/>
      <c r="J42" s="33"/>
      <c r="K42" s="15">
        <f>0+G42</f>
        <v>2219</v>
      </c>
      <c r="L42" s="15">
        <f>24409+K42</f>
        <v>26628</v>
      </c>
      <c r="M42" s="119">
        <f t="shared" si="2"/>
        <v>0</v>
      </c>
      <c r="N42" s="121">
        <f t="shared" si="2"/>
        <v>0</v>
      </c>
      <c r="O42" s="31">
        <v>0</v>
      </c>
      <c r="P42" s="123">
        <v>0</v>
      </c>
      <c r="Q42" s="173"/>
      <c r="R42" s="173"/>
    </row>
    <row r="43" spans="1:18" ht="15.75" thickBot="1">
      <c r="A43" s="29" t="s">
        <v>44</v>
      </c>
      <c r="B43" s="427" t="s">
        <v>45</v>
      </c>
      <c r="C43" s="428"/>
      <c r="D43" s="429"/>
      <c r="E43" s="108"/>
      <c r="F43" s="108">
        <f>3000+E43</f>
        <v>3000</v>
      </c>
      <c r="G43" s="13"/>
      <c r="H43" s="13"/>
      <c r="I43" s="13"/>
      <c r="J43" s="33"/>
      <c r="K43" s="15">
        <f>0+J43</f>
        <v>0</v>
      </c>
      <c r="L43" s="15">
        <f>0+K43</f>
        <v>0</v>
      </c>
      <c r="M43" s="119">
        <f t="shared" si="2"/>
        <v>0</v>
      </c>
      <c r="N43" s="121">
        <f t="shared" si="2"/>
        <v>3000</v>
      </c>
      <c r="O43" s="31">
        <v>0</v>
      </c>
      <c r="P43" s="123">
        <v>0</v>
      </c>
      <c r="Q43" s="173"/>
      <c r="R43" s="18"/>
    </row>
    <row r="44" spans="1:18" ht="32.25" customHeight="1" thickBot="1">
      <c r="A44" s="22" t="s">
        <v>46</v>
      </c>
      <c r="B44" s="395" t="s">
        <v>47</v>
      </c>
      <c r="C44" s="396"/>
      <c r="D44" s="397"/>
      <c r="E44" s="81">
        <f>SUM(E47:E49)</f>
        <v>215000</v>
      </c>
      <c r="F44" s="114">
        <f>1792800+E44</f>
        <v>2007800</v>
      </c>
      <c r="G44" s="23">
        <f>G45+G46+G47</f>
        <v>258660.7</v>
      </c>
      <c r="H44" s="32"/>
      <c r="I44" s="32"/>
      <c r="J44" s="20"/>
      <c r="K44" s="23">
        <f>K45+K46+K47</f>
        <v>258660.7</v>
      </c>
      <c r="L44" s="23">
        <f>L45+L46+L47</f>
        <v>1982702.2</v>
      </c>
      <c r="M44" s="120">
        <f t="shared" si="2"/>
        <v>-43660.70000000001</v>
      </c>
      <c r="N44" s="122">
        <f t="shared" si="2"/>
        <v>25097.800000000047</v>
      </c>
      <c r="O44" s="26">
        <v>0</v>
      </c>
      <c r="P44" s="27">
        <v>0</v>
      </c>
      <c r="Q44" s="173"/>
      <c r="R44" s="173"/>
    </row>
    <row r="45" spans="1:18" ht="28.5" customHeight="1" thickBot="1">
      <c r="A45" s="29" t="s">
        <v>161</v>
      </c>
      <c r="B45" s="340" t="s">
        <v>152</v>
      </c>
      <c r="C45" s="341"/>
      <c r="D45" s="342"/>
      <c r="E45" s="112">
        <v>215000</v>
      </c>
      <c r="F45" s="108">
        <f>1792800+E45</f>
        <v>2007800</v>
      </c>
      <c r="G45" s="15">
        <f>G48+G49</f>
        <v>258660.7</v>
      </c>
      <c r="H45" s="13"/>
      <c r="I45" s="13"/>
      <c r="J45" s="33"/>
      <c r="K45" s="15">
        <f>0+G45</f>
        <v>258660.7</v>
      </c>
      <c r="L45" s="15">
        <f>L48+L49</f>
        <v>1982702.2</v>
      </c>
      <c r="M45" s="119">
        <f t="shared" si="2"/>
        <v>-43660.70000000001</v>
      </c>
      <c r="N45" s="124">
        <f t="shared" si="2"/>
        <v>25097.800000000047</v>
      </c>
      <c r="O45" s="31">
        <v>0</v>
      </c>
      <c r="P45" s="123">
        <v>0</v>
      </c>
      <c r="Q45" s="173"/>
      <c r="R45" s="173"/>
    </row>
    <row r="46" spans="1:18" ht="18.75" customHeight="1" thickBot="1">
      <c r="A46" s="29" t="s">
        <v>162</v>
      </c>
      <c r="B46" s="430" t="s">
        <v>151</v>
      </c>
      <c r="C46" s="431"/>
      <c r="D46" s="432"/>
      <c r="E46" s="94"/>
      <c r="F46" s="108"/>
      <c r="G46" s="15"/>
      <c r="H46" s="13"/>
      <c r="I46" s="13"/>
      <c r="J46" s="33"/>
      <c r="K46" s="15">
        <f aca="true" t="shared" si="3" ref="K46:K53">0+G46</f>
        <v>0</v>
      </c>
      <c r="L46" s="15">
        <f>0+K46</f>
        <v>0</v>
      </c>
      <c r="M46" s="119">
        <f t="shared" si="2"/>
        <v>0</v>
      </c>
      <c r="N46" s="121">
        <f t="shared" si="2"/>
        <v>0</v>
      </c>
      <c r="O46" s="31">
        <v>0</v>
      </c>
      <c r="P46" s="123">
        <v>0</v>
      </c>
      <c r="Q46" s="173"/>
      <c r="R46" s="173"/>
    </row>
    <row r="47" spans="1:18" ht="17.25" customHeight="1" thickBot="1">
      <c r="A47" s="29" t="s">
        <v>163</v>
      </c>
      <c r="B47" s="96" t="s">
        <v>154</v>
      </c>
      <c r="C47" s="97"/>
      <c r="D47" s="97"/>
      <c r="E47" s="126"/>
      <c r="F47" s="108"/>
      <c r="G47" s="15"/>
      <c r="H47" s="13"/>
      <c r="I47" s="13"/>
      <c r="J47" s="33"/>
      <c r="K47" s="15">
        <f t="shared" si="3"/>
        <v>0</v>
      </c>
      <c r="L47" s="15">
        <f>0+K47</f>
        <v>0</v>
      </c>
      <c r="M47" s="119">
        <f t="shared" si="2"/>
        <v>0</v>
      </c>
      <c r="N47" s="121">
        <f t="shared" si="2"/>
        <v>0</v>
      </c>
      <c r="O47" s="31">
        <v>0</v>
      </c>
      <c r="P47" s="123">
        <v>0</v>
      </c>
      <c r="Q47" s="173"/>
      <c r="R47" s="196"/>
    </row>
    <row r="48" spans="1:18" ht="30" customHeight="1" thickBot="1">
      <c r="A48" s="29" t="s">
        <v>48</v>
      </c>
      <c r="B48" s="359" t="s">
        <v>49</v>
      </c>
      <c r="C48" s="360"/>
      <c r="D48" s="361"/>
      <c r="E48" s="108">
        <v>215000</v>
      </c>
      <c r="F48" s="108">
        <f>1755000+E48</f>
        <v>1970000</v>
      </c>
      <c r="G48" s="13">
        <v>256045</v>
      </c>
      <c r="H48" s="13"/>
      <c r="I48" s="13"/>
      <c r="J48" s="33"/>
      <c r="K48" s="15">
        <f>0+G48</f>
        <v>256045</v>
      </c>
      <c r="L48" s="15">
        <f>1710382.5+K48</f>
        <v>1966427.5</v>
      </c>
      <c r="M48" s="119">
        <f t="shared" si="2"/>
        <v>-41045</v>
      </c>
      <c r="N48" s="121">
        <f t="shared" si="2"/>
        <v>3572.5</v>
      </c>
      <c r="O48" s="31">
        <v>0</v>
      </c>
      <c r="P48" s="123">
        <v>0</v>
      </c>
      <c r="Q48" s="173"/>
      <c r="R48" s="18"/>
    </row>
    <row r="49" spans="1:18" ht="33.75" customHeight="1" thickBot="1">
      <c r="A49" s="29" t="s">
        <v>50</v>
      </c>
      <c r="B49" s="359" t="s">
        <v>51</v>
      </c>
      <c r="C49" s="360"/>
      <c r="D49" s="361"/>
      <c r="E49" s="108"/>
      <c r="F49" s="108">
        <f>37800+E49</f>
        <v>37800</v>
      </c>
      <c r="G49" s="13">
        <v>2615.7</v>
      </c>
      <c r="H49" s="13"/>
      <c r="I49" s="13"/>
      <c r="J49" s="33"/>
      <c r="K49" s="15">
        <f t="shared" si="3"/>
        <v>2615.7</v>
      </c>
      <c r="L49" s="15">
        <f>13659+K49</f>
        <v>16274.7</v>
      </c>
      <c r="M49" s="119">
        <f t="shared" si="2"/>
        <v>-2615.7</v>
      </c>
      <c r="N49" s="121">
        <f t="shared" si="2"/>
        <v>21525.3</v>
      </c>
      <c r="O49" s="31">
        <v>0</v>
      </c>
      <c r="P49" s="123">
        <v>0</v>
      </c>
      <c r="Q49" s="173"/>
      <c r="R49" s="173"/>
    </row>
    <row r="50" spans="1:18" ht="25.5" customHeight="1" thickBot="1">
      <c r="A50" s="29" t="s">
        <v>52</v>
      </c>
      <c r="B50" s="359" t="s">
        <v>53</v>
      </c>
      <c r="C50" s="360"/>
      <c r="D50" s="361"/>
      <c r="E50" s="13">
        <v>0</v>
      </c>
      <c r="F50" s="108">
        <f>0+E50</f>
        <v>0</v>
      </c>
      <c r="G50" s="13"/>
      <c r="H50" s="13"/>
      <c r="I50" s="13"/>
      <c r="J50" s="33"/>
      <c r="K50" s="15">
        <f t="shared" si="3"/>
        <v>0</v>
      </c>
      <c r="L50" s="15">
        <f aca="true" t="shared" si="4" ref="L50:L57">0+K50</f>
        <v>0</v>
      </c>
      <c r="M50" s="119">
        <f t="shared" si="2"/>
        <v>0</v>
      </c>
      <c r="N50" s="121">
        <f t="shared" si="2"/>
        <v>0</v>
      </c>
      <c r="O50" s="31">
        <v>0</v>
      </c>
      <c r="P50" s="123">
        <v>0</v>
      </c>
      <c r="Q50" s="173"/>
      <c r="R50" s="173"/>
    </row>
    <row r="51" spans="1:18" ht="31.5" customHeight="1" thickBot="1">
      <c r="A51" s="22" t="s">
        <v>54</v>
      </c>
      <c r="B51" s="425" t="s">
        <v>55</v>
      </c>
      <c r="C51" s="323"/>
      <c r="D51" s="324"/>
      <c r="E51" s="23">
        <v>0</v>
      </c>
      <c r="F51" s="23">
        <v>0</v>
      </c>
      <c r="G51" s="23"/>
      <c r="H51" s="23"/>
      <c r="I51" s="23"/>
      <c r="J51" s="20"/>
      <c r="K51" s="23">
        <f t="shared" si="3"/>
        <v>0</v>
      </c>
      <c r="L51" s="23">
        <f t="shared" si="4"/>
        <v>0</v>
      </c>
      <c r="M51" s="120">
        <f t="shared" si="2"/>
        <v>0</v>
      </c>
      <c r="N51" s="122">
        <f t="shared" si="2"/>
        <v>0</v>
      </c>
      <c r="O51" s="26">
        <v>0</v>
      </c>
      <c r="P51" s="27">
        <v>0</v>
      </c>
      <c r="Q51" s="173"/>
      <c r="R51" s="173"/>
    </row>
    <row r="52" spans="1:18" ht="27.75" customHeight="1" thickBot="1">
      <c r="A52" s="29" t="s">
        <v>164</v>
      </c>
      <c r="B52" s="340" t="s">
        <v>152</v>
      </c>
      <c r="C52" s="341"/>
      <c r="D52" s="342"/>
      <c r="E52" s="15"/>
      <c r="F52" s="15"/>
      <c r="G52" s="15"/>
      <c r="H52" s="15"/>
      <c r="I52" s="15"/>
      <c r="J52" s="33"/>
      <c r="K52" s="15">
        <f t="shared" si="3"/>
        <v>0</v>
      </c>
      <c r="L52" s="15">
        <f t="shared" si="4"/>
        <v>0</v>
      </c>
      <c r="M52" s="119">
        <f t="shared" si="2"/>
        <v>0</v>
      </c>
      <c r="N52" s="121">
        <f t="shared" si="2"/>
        <v>0</v>
      </c>
      <c r="O52" s="31">
        <v>0</v>
      </c>
      <c r="P52" s="123">
        <v>0</v>
      </c>
      <c r="Q52" s="173"/>
      <c r="R52" s="173"/>
    </row>
    <row r="53" spans="1:18" ht="15.75" thickBot="1">
      <c r="A53" s="29" t="s">
        <v>165</v>
      </c>
      <c r="B53" s="96" t="s">
        <v>154</v>
      </c>
      <c r="C53" s="97"/>
      <c r="D53" s="97"/>
      <c r="E53" s="15"/>
      <c r="F53" s="15"/>
      <c r="G53" s="15"/>
      <c r="H53" s="15"/>
      <c r="I53" s="15"/>
      <c r="J53" s="33"/>
      <c r="K53" s="15">
        <f t="shared" si="3"/>
        <v>0</v>
      </c>
      <c r="L53" s="15">
        <f t="shared" si="4"/>
        <v>0</v>
      </c>
      <c r="M53" s="119">
        <f t="shared" si="2"/>
        <v>0</v>
      </c>
      <c r="N53" s="121">
        <f t="shared" si="2"/>
        <v>0</v>
      </c>
      <c r="O53" s="31">
        <v>0</v>
      </c>
      <c r="P53" s="123">
        <v>0</v>
      </c>
      <c r="Q53" s="173"/>
      <c r="R53" s="173"/>
    </row>
    <row r="54" spans="1:18" ht="39.75" customHeight="1" thickBot="1">
      <c r="A54" s="22" t="s">
        <v>56</v>
      </c>
      <c r="B54" s="395" t="s">
        <v>57</v>
      </c>
      <c r="C54" s="396"/>
      <c r="D54" s="397"/>
      <c r="E54" s="81">
        <f>SUM(E59:E63)</f>
        <v>321000</v>
      </c>
      <c r="F54" s="114">
        <f>F55+F58</f>
        <v>1992500</v>
      </c>
      <c r="G54" s="23">
        <f>G55+G56+G57+G58</f>
        <v>312855.51</v>
      </c>
      <c r="H54" s="23"/>
      <c r="I54" s="23"/>
      <c r="J54" s="23">
        <f>J55+J56+J57+J58</f>
        <v>0</v>
      </c>
      <c r="K54" s="23">
        <f>K55+K56+K57</f>
        <v>312855.51</v>
      </c>
      <c r="L54" s="23">
        <f>L55+L56+L57+L58</f>
        <v>1856844.34</v>
      </c>
      <c r="M54" s="120">
        <f t="shared" si="2"/>
        <v>8144.489999999991</v>
      </c>
      <c r="N54" s="125">
        <f t="shared" si="2"/>
        <v>135655.65999999992</v>
      </c>
      <c r="O54" s="26">
        <v>0</v>
      </c>
      <c r="P54" s="27">
        <v>0</v>
      </c>
      <c r="Q54" s="173"/>
      <c r="R54" s="18">
        <f>F59+F60+F62+F63-F58</f>
        <v>1898900</v>
      </c>
    </row>
    <row r="55" spans="1:18" ht="30.75" customHeight="1" thickBot="1">
      <c r="A55" s="29" t="s">
        <v>166</v>
      </c>
      <c r="B55" s="340" t="s">
        <v>152</v>
      </c>
      <c r="C55" s="341"/>
      <c r="D55" s="342"/>
      <c r="E55" s="113">
        <f>E59+E60+E62+E63-E58</f>
        <v>310000</v>
      </c>
      <c r="F55" s="108">
        <f>1588900+E55</f>
        <v>1898900</v>
      </c>
      <c r="G55" s="15">
        <f>G59+G60+G62+G63</f>
        <v>312855.51</v>
      </c>
      <c r="H55" s="15"/>
      <c r="I55" s="15"/>
      <c r="J55" s="15"/>
      <c r="K55" s="15">
        <f>0+G55</f>
        <v>312855.51</v>
      </c>
      <c r="L55" s="15">
        <f>1433394.12+K55</f>
        <v>1746249.6300000001</v>
      </c>
      <c r="M55" s="119">
        <f t="shared" si="2"/>
        <v>-2855.5100000000093</v>
      </c>
      <c r="N55" s="121">
        <f t="shared" si="2"/>
        <v>152650.36999999988</v>
      </c>
      <c r="O55" s="31">
        <v>0</v>
      </c>
      <c r="P55" s="123">
        <v>0</v>
      </c>
      <c r="Q55" s="173"/>
      <c r="R55" s="18"/>
    </row>
    <row r="56" spans="1:18" ht="15.75" thickBot="1">
      <c r="A56" s="29" t="s">
        <v>167</v>
      </c>
      <c r="B56" s="430" t="s">
        <v>168</v>
      </c>
      <c r="C56" s="431"/>
      <c r="D56" s="432"/>
      <c r="E56" s="112"/>
      <c r="F56" s="108"/>
      <c r="G56" s="15"/>
      <c r="H56" s="15"/>
      <c r="I56" s="15"/>
      <c r="J56" s="15"/>
      <c r="K56" s="15">
        <f aca="true" t="shared" si="5" ref="K56:K61">0+G56</f>
        <v>0</v>
      </c>
      <c r="L56" s="15">
        <f t="shared" si="4"/>
        <v>0</v>
      </c>
      <c r="M56" s="119">
        <f aca="true" t="shared" si="6" ref="M56:N71">E56-K56</f>
        <v>0</v>
      </c>
      <c r="N56" s="121">
        <f t="shared" si="6"/>
        <v>0</v>
      </c>
      <c r="O56" s="31">
        <v>0</v>
      </c>
      <c r="P56" s="123">
        <v>0</v>
      </c>
      <c r="Q56" s="173"/>
      <c r="R56" s="18"/>
    </row>
    <row r="57" spans="1:18" ht="15.75" thickBot="1">
      <c r="A57" s="29" t="s">
        <v>203</v>
      </c>
      <c r="B57" s="503" t="s">
        <v>154</v>
      </c>
      <c r="C57" s="504"/>
      <c r="D57" s="504"/>
      <c r="E57" s="127"/>
      <c r="F57" s="108"/>
      <c r="G57" s="15"/>
      <c r="H57" s="15"/>
      <c r="I57" s="15"/>
      <c r="J57" s="15"/>
      <c r="K57" s="15">
        <f t="shared" si="5"/>
        <v>0</v>
      </c>
      <c r="L57" s="15">
        <f t="shared" si="4"/>
        <v>0</v>
      </c>
      <c r="M57" s="119">
        <f t="shared" si="6"/>
        <v>0</v>
      </c>
      <c r="N57" s="121">
        <f t="shared" si="6"/>
        <v>0</v>
      </c>
      <c r="O57" s="31">
        <v>0</v>
      </c>
      <c r="P57" s="123">
        <v>0</v>
      </c>
      <c r="Q57" s="173"/>
      <c r="R57" s="18">
        <f>L59+L60+L61+L62+L63</f>
        <v>1856844.33</v>
      </c>
    </row>
    <row r="58" spans="1:18" ht="15.75" thickBot="1">
      <c r="A58" s="29" t="s">
        <v>204</v>
      </c>
      <c r="B58" s="497" t="s">
        <v>201</v>
      </c>
      <c r="C58" s="498"/>
      <c r="D58" s="499"/>
      <c r="E58" s="112">
        <v>11000</v>
      </c>
      <c r="F58" s="108">
        <f>82600+E58</f>
        <v>93600</v>
      </c>
      <c r="G58" s="15"/>
      <c r="H58" s="15"/>
      <c r="I58" s="15"/>
      <c r="J58" s="15">
        <f>J62+J63+J59</f>
        <v>0</v>
      </c>
      <c r="K58" s="15">
        <f>0+J58</f>
        <v>0</v>
      </c>
      <c r="L58" s="15">
        <f>110594.71+K58</f>
        <v>110594.71</v>
      </c>
      <c r="M58" s="119">
        <f t="shared" si="6"/>
        <v>11000</v>
      </c>
      <c r="N58" s="121">
        <f t="shared" si="6"/>
        <v>-16994.710000000006</v>
      </c>
      <c r="O58" s="31">
        <v>0</v>
      </c>
      <c r="P58" s="123">
        <v>0</v>
      </c>
      <c r="Q58" s="173"/>
      <c r="R58" s="18">
        <f>F59+F60+F62+F63</f>
        <v>1992500</v>
      </c>
    </row>
    <row r="59" spans="1:18" ht="26.25" customHeight="1" thickBot="1">
      <c r="A59" s="29" t="s">
        <v>58</v>
      </c>
      <c r="B59" s="419" t="s">
        <v>236</v>
      </c>
      <c r="C59" s="420"/>
      <c r="D59" s="421"/>
      <c r="E59" s="108">
        <v>70000</v>
      </c>
      <c r="F59" s="108">
        <f>525000+E59</f>
        <v>595000</v>
      </c>
      <c r="G59" s="13">
        <v>136979.09</v>
      </c>
      <c r="H59" s="13"/>
      <c r="I59" s="13"/>
      <c r="J59" s="15"/>
      <c r="K59" s="15">
        <f>J59+G59</f>
        <v>136979.09</v>
      </c>
      <c r="L59" s="15">
        <f>439506.8+K59</f>
        <v>576485.89</v>
      </c>
      <c r="M59" s="119">
        <f t="shared" si="6"/>
        <v>-66979.09</v>
      </c>
      <c r="N59" s="121">
        <f t="shared" si="6"/>
        <v>18514.109999999986</v>
      </c>
      <c r="O59" s="31">
        <v>0</v>
      </c>
      <c r="P59" s="123">
        <v>0</v>
      </c>
      <c r="Q59" s="173"/>
      <c r="R59" s="196"/>
    </row>
    <row r="60" spans="1:18" ht="15.75" thickBot="1">
      <c r="A60" s="29" t="s">
        <v>60</v>
      </c>
      <c r="B60" s="387" t="s">
        <v>61</v>
      </c>
      <c r="C60" s="388"/>
      <c r="D60" s="388"/>
      <c r="E60" s="108">
        <v>240000</v>
      </c>
      <c r="F60" s="108">
        <f>1042000+E60</f>
        <v>1282000</v>
      </c>
      <c r="G60" s="13">
        <v>164079.15</v>
      </c>
      <c r="H60" s="13"/>
      <c r="I60" s="13"/>
      <c r="J60" s="15"/>
      <c r="K60" s="15">
        <f>0+G60</f>
        <v>164079.15</v>
      </c>
      <c r="L60" s="15">
        <f>1000454.58+K60</f>
        <v>1164533.73</v>
      </c>
      <c r="M60" s="119">
        <f t="shared" si="6"/>
        <v>75920.85</v>
      </c>
      <c r="N60" s="121">
        <f t="shared" si="6"/>
        <v>117466.27000000002</v>
      </c>
      <c r="O60" s="31">
        <v>0</v>
      </c>
      <c r="P60" s="123">
        <v>0</v>
      </c>
      <c r="Q60" s="173"/>
      <c r="R60" s="18"/>
    </row>
    <row r="61" spans="1:18" ht="15.75" thickBot="1">
      <c r="A61" s="29" t="s">
        <v>60</v>
      </c>
      <c r="B61" s="422" t="s">
        <v>205</v>
      </c>
      <c r="C61" s="423"/>
      <c r="D61" s="424"/>
      <c r="E61" s="108"/>
      <c r="F61" s="108"/>
      <c r="G61" s="13"/>
      <c r="H61" s="13"/>
      <c r="I61" s="13"/>
      <c r="J61" s="15"/>
      <c r="K61" s="15">
        <f t="shared" si="5"/>
        <v>0</v>
      </c>
      <c r="L61" s="15">
        <f>0+K61</f>
        <v>0</v>
      </c>
      <c r="M61" s="119">
        <f t="shared" si="6"/>
        <v>0</v>
      </c>
      <c r="N61" s="121">
        <f t="shared" si="6"/>
        <v>0</v>
      </c>
      <c r="O61" s="31">
        <v>0</v>
      </c>
      <c r="P61" s="123">
        <v>0</v>
      </c>
      <c r="Q61" s="173"/>
      <c r="R61" s="173"/>
    </row>
    <row r="62" spans="1:18" ht="15.75" thickBot="1">
      <c r="A62" s="29" t="s">
        <v>62</v>
      </c>
      <c r="B62" s="387" t="s">
        <v>63</v>
      </c>
      <c r="C62" s="388"/>
      <c r="D62" s="389"/>
      <c r="E62" s="108">
        <v>5900</v>
      </c>
      <c r="F62" s="108">
        <f>55500+E62</f>
        <v>61400</v>
      </c>
      <c r="G62" s="215">
        <v>6300.07</v>
      </c>
      <c r="H62" s="60"/>
      <c r="I62" s="13"/>
      <c r="J62" s="13"/>
      <c r="K62" s="15">
        <f>0+J62+G62</f>
        <v>6300.07</v>
      </c>
      <c r="L62" s="15">
        <f>56647.1+K62</f>
        <v>62947.17</v>
      </c>
      <c r="M62" s="119">
        <f t="shared" si="6"/>
        <v>-400.0699999999997</v>
      </c>
      <c r="N62" s="121">
        <f t="shared" si="6"/>
        <v>-1547.1699999999983</v>
      </c>
      <c r="O62" s="31">
        <v>0</v>
      </c>
      <c r="P62" s="123">
        <v>0</v>
      </c>
      <c r="Q62" s="173"/>
      <c r="R62" s="173"/>
    </row>
    <row r="63" spans="1:18" ht="15.75" thickBot="1">
      <c r="A63" s="29" t="s">
        <v>64</v>
      </c>
      <c r="B63" s="387" t="s">
        <v>65</v>
      </c>
      <c r="C63" s="388"/>
      <c r="D63" s="389"/>
      <c r="E63" s="108">
        <v>5100</v>
      </c>
      <c r="F63" s="108">
        <f>49000+E63</f>
        <v>54100</v>
      </c>
      <c r="G63" s="216">
        <v>5497.2</v>
      </c>
      <c r="H63" s="13"/>
      <c r="I63" s="13"/>
      <c r="J63" s="13"/>
      <c r="K63" s="15">
        <f>0+J63+G63</f>
        <v>5497.2</v>
      </c>
      <c r="L63" s="15">
        <f>47380.34+K63</f>
        <v>52877.53999999999</v>
      </c>
      <c r="M63" s="119">
        <f t="shared" si="6"/>
        <v>-397.1999999999998</v>
      </c>
      <c r="N63" s="121">
        <f t="shared" si="6"/>
        <v>1222.4600000000064</v>
      </c>
      <c r="O63" s="31">
        <v>0</v>
      </c>
      <c r="P63" s="123">
        <v>0</v>
      </c>
      <c r="Q63" s="173"/>
      <c r="R63" s="173"/>
    </row>
    <row r="64" spans="1:18" ht="29.25" customHeight="1" thickBot="1">
      <c r="A64" s="56" t="s">
        <v>66</v>
      </c>
      <c r="B64" s="585" t="s">
        <v>228</v>
      </c>
      <c r="C64" s="586"/>
      <c r="D64" s="587"/>
      <c r="E64" s="81">
        <f>E65</f>
        <v>0</v>
      </c>
      <c r="F64" s="114">
        <f>F65+F66</f>
        <v>339000</v>
      </c>
      <c r="G64" s="32">
        <f>G65+G66</f>
        <v>0</v>
      </c>
      <c r="H64" s="23"/>
      <c r="I64" s="23">
        <f>I66</f>
        <v>0</v>
      </c>
      <c r="J64" s="23">
        <f>J65+J66</f>
        <v>0</v>
      </c>
      <c r="K64" s="23">
        <f>K65+K66</f>
        <v>0</v>
      </c>
      <c r="L64" s="23">
        <f>L65+L66</f>
        <v>316888</v>
      </c>
      <c r="M64" s="120">
        <f t="shared" si="6"/>
        <v>0</v>
      </c>
      <c r="N64" s="125">
        <f t="shared" si="6"/>
        <v>22112</v>
      </c>
      <c r="O64" s="26">
        <v>0</v>
      </c>
      <c r="P64" s="27">
        <v>0</v>
      </c>
      <c r="Q64" s="173"/>
      <c r="R64" s="173"/>
    </row>
    <row r="65" spans="1:18" ht="30" customHeight="1" thickBot="1">
      <c r="A65" s="29" t="s">
        <v>207</v>
      </c>
      <c r="B65" s="340" t="s">
        <v>152</v>
      </c>
      <c r="C65" s="341"/>
      <c r="D65" s="342"/>
      <c r="E65" s="82">
        <v>0</v>
      </c>
      <c r="F65" s="108">
        <f>339000+E65</f>
        <v>339000</v>
      </c>
      <c r="G65" s="13"/>
      <c r="H65" s="15"/>
      <c r="I65" s="15"/>
      <c r="J65" s="15"/>
      <c r="K65" s="15">
        <f>0+G65</f>
        <v>0</v>
      </c>
      <c r="L65" s="15">
        <f>300088+K65</f>
        <v>300088</v>
      </c>
      <c r="M65" s="119">
        <f t="shared" si="6"/>
        <v>0</v>
      </c>
      <c r="N65" s="124">
        <f t="shared" si="6"/>
        <v>38912</v>
      </c>
      <c r="O65" s="31">
        <v>0</v>
      </c>
      <c r="P65" s="123">
        <v>0</v>
      </c>
      <c r="Q65" s="173"/>
      <c r="R65" s="173"/>
    </row>
    <row r="66" spans="1:18" ht="29.25" customHeight="1" thickBot="1">
      <c r="A66" s="29" t="s">
        <v>208</v>
      </c>
      <c r="B66" s="340" t="s">
        <v>171</v>
      </c>
      <c r="C66" s="341"/>
      <c r="D66" s="342"/>
      <c r="E66" s="82"/>
      <c r="F66" s="108"/>
      <c r="G66" s="13"/>
      <c r="H66" s="15"/>
      <c r="I66" s="15"/>
      <c r="J66" s="15"/>
      <c r="K66" s="15">
        <f>0+I66</f>
        <v>0</v>
      </c>
      <c r="L66" s="15">
        <f>16800+K66</f>
        <v>16800</v>
      </c>
      <c r="M66" s="119">
        <f t="shared" si="6"/>
        <v>0</v>
      </c>
      <c r="N66" s="124">
        <f t="shared" si="6"/>
        <v>-16800</v>
      </c>
      <c r="O66" s="31">
        <v>0</v>
      </c>
      <c r="P66" s="123">
        <v>0</v>
      </c>
      <c r="Q66" s="173"/>
      <c r="R66" s="173"/>
    </row>
    <row r="67" spans="1:18" ht="33" customHeight="1" thickBot="1">
      <c r="A67" s="128" t="s">
        <v>67</v>
      </c>
      <c r="B67" s="588" t="s">
        <v>226</v>
      </c>
      <c r="C67" s="589"/>
      <c r="D67" s="590"/>
      <c r="E67" s="81">
        <f>E68</f>
        <v>0</v>
      </c>
      <c r="F67" s="114">
        <f>125000+E67</f>
        <v>125000</v>
      </c>
      <c r="G67" s="32">
        <f>G68+G69</f>
        <v>0</v>
      </c>
      <c r="H67" s="23"/>
      <c r="I67" s="23"/>
      <c r="J67" s="23"/>
      <c r="K67" s="23">
        <f>K68+K69+K70</f>
        <v>0</v>
      </c>
      <c r="L67" s="23">
        <f>26070+K67</f>
        <v>26070</v>
      </c>
      <c r="M67" s="120">
        <f t="shared" si="6"/>
        <v>0</v>
      </c>
      <c r="N67" s="125">
        <f t="shared" si="6"/>
        <v>98930</v>
      </c>
      <c r="O67" s="26">
        <v>0</v>
      </c>
      <c r="P67" s="27">
        <v>0</v>
      </c>
      <c r="Q67" s="173"/>
      <c r="R67" s="18"/>
    </row>
    <row r="68" spans="1:18" ht="27.75" customHeight="1" thickBot="1">
      <c r="A68" s="29" t="s">
        <v>169</v>
      </c>
      <c r="B68" s="340" t="s">
        <v>152</v>
      </c>
      <c r="C68" s="341"/>
      <c r="D68" s="342"/>
      <c r="E68" s="112">
        <v>0</v>
      </c>
      <c r="F68" s="108">
        <f>125000+E68</f>
        <v>125000</v>
      </c>
      <c r="G68" s="13"/>
      <c r="H68" s="15"/>
      <c r="I68" s="15"/>
      <c r="J68" s="15"/>
      <c r="K68" s="15">
        <f>G68</f>
        <v>0</v>
      </c>
      <c r="L68" s="15">
        <f>26070+K68</f>
        <v>26070</v>
      </c>
      <c r="M68" s="119">
        <f t="shared" si="6"/>
        <v>0</v>
      </c>
      <c r="N68" s="124">
        <f t="shared" si="6"/>
        <v>98930</v>
      </c>
      <c r="O68" s="31">
        <v>0</v>
      </c>
      <c r="P68" s="123">
        <v>0</v>
      </c>
      <c r="Q68" s="173"/>
      <c r="R68" s="18"/>
    </row>
    <row r="69" spans="1:18" ht="27.75" customHeight="1" thickBot="1">
      <c r="A69" s="29" t="s">
        <v>170</v>
      </c>
      <c r="B69" s="340" t="s">
        <v>171</v>
      </c>
      <c r="C69" s="341"/>
      <c r="D69" s="342"/>
      <c r="E69" s="112"/>
      <c r="F69" s="108"/>
      <c r="G69" s="13"/>
      <c r="H69" s="15"/>
      <c r="I69" s="15"/>
      <c r="J69" s="15"/>
      <c r="K69" s="15">
        <f>G69</f>
        <v>0</v>
      </c>
      <c r="L69" s="15">
        <f>0+K69</f>
        <v>0</v>
      </c>
      <c r="M69" s="119">
        <f t="shared" si="6"/>
        <v>0</v>
      </c>
      <c r="N69" s="124">
        <f t="shared" si="6"/>
        <v>0</v>
      </c>
      <c r="O69" s="31">
        <v>0</v>
      </c>
      <c r="P69" s="123">
        <v>0</v>
      </c>
      <c r="Q69" s="173"/>
      <c r="R69" s="18"/>
    </row>
    <row r="70" spans="1:18" ht="15.75" thickBot="1">
      <c r="A70" s="29" t="s">
        <v>172</v>
      </c>
      <c r="B70" s="340" t="s">
        <v>154</v>
      </c>
      <c r="C70" s="341"/>
      <c r="D70" s="342"/>
      <c r="E70" s="113"/>
      <c r="F70" s="108"/>
      <c r="G70" s="13"/>
      <c r="H70" s="15"/>
      <c r="I70" s="15"/>
      <c r="J70" s="15"/>
      <c r="K70" s="15">
        <f>0+J70</f>
        <v>0</v>
      </c>
      <c r="L70" s="15">
        <f>0+K70</f>
        <v>0</v>
      </c>
      <c r="M70" s="119">
        <f t="shared" si="6"/>
        <v>0</v>
      </c>
      <c r="N70" s="124">
        <f t="shared" si="6"/>
        <v>0</v>
      </c>
      <c r="O70" s="31">
        <v>0</v>
      </c>
      <c r="P70" s="123">
        <v>0</v>
      </c>
      <c r="Q70" s="173"/>
      <c r="R70" s="18"/>
    </row>
    <row r="71" spans="1:18" ht="21" customHeight="1" thickBot="1">
      <c r="A71" s="30" t="s">
        <v>69</v>
      </c>
      <c r="B71" s="508" t="s">
        <v>227</v>
      </c>
      <c r="C71" s="509"/>
      <c r="D71" s="510"/>
      <c r="E71" s="81">
        <f>E72+E73</f>
        <v>3000</v>
      </c>
      <c r="F71" s="114">
        <f>27000+E71</f>
        <v>30000</v>
      </c>
      <c r="G71" s="32">
        <f>G72+G73</f>
        <v>13018</v>
      </c>
      <c r="H71" s="23"/>
      <c r="I71" s="23"/>
      <c r="J71" s="23"/>
      <c r="K71" s="23">
        <f>G71</f>
        <v>13018</v>
      </c>
      <c r="L71" s="23">
        <f>L72</f>
        <v>59130.62</v>
      </c>
      <c r="M71" s="120">
        <f t="shared" si="6"/>
        <v>-10018</v>
      </c>
      <c r="N71" s="125">
        <f t="shared" si="6"/>
        <v>-29130.620000000003</v>
      </c>
      <c r="O71" s="26">
        <v>0</v>
      </c>
      <c r="P71" s="27">
        <v>0</v>
      </c>
      <c r="Q71" s="173"/>
      <c r="R71" s="173"/>
    </row>
    <row r="72" spans="1:18" ht="29.25" customHeight="1" thickBot="1">
      <c r="A72" s="29" t="s">
        <v>169</v>
      </c>
      <c r="B72" s="340" t="s">
        <v>152</v>
      </c>
      <c r="C72" s="341"/>
      <c r="D72" s="342"/>
      <c r="E72" s="112">
        <v>3000</v>
      </c>
      <c r="F72" s="108">
        <f>27000+E72</f>
        <v>30000</v>
      </c>
      <c r="G72" s="13">
        <v>13018</v>
      </c>
      <c r="H72" s="15"/>
      <c r="I72" s="15"/>
      <c r="J72" s="15"/>
      <c r="K72" s="15">
        <f>G72</f>
        <v>13018</v>
      </c>
      <c r="L72" s="15">
        <f>46112.62+K72</f>
        <v>59130.62</v>
      </c>
      <c r="M72" s="119">
        <f aca="true" t="shared" si="7" ref="M72:N82">E72-K72</f>
        <v>-10018</v>
      </c>
      <c r="N72" s="124">
        <f t="shared" si="7"/>
        <v>-29130.620000000003</v>
      </c>
      <c r="O72" s="31">
        <v>0</v>
      </c>
      <c r="P72" s="123">
        <v>0</v>
      </c>
      <c r="Q72" s="173"/>
      <c r="R72" s="173"/>
    </row>
    <row r="73" spans="1:18" ht="20.25" customHeight="1" thickBot="1">
      <c r="A73" s="29" t="s">
        <v>172</v>
      </c>
      <c r="B73" s="340" t="s">
        <v>154</v>
      </c>
      <c r="C73" s="341"/>
      <c r="D73" s="342"/>
      <c r="E73" s="113"/>
      <c r="F73" s="108"/>
      <c r="G73" s="13"/>
      <c r="H73" s="15"/>
      <c r="I73" s="15"/>
      <c r="J73" s="15"/>
      <c r="K73" s="15">
        <f>0+J73</f>
        <v>0</v>
      </c>
      <c r="L73" s="15">
        <f>0+K73</f>
        <v>0</v>
      </c>
      <c r="M73" s="119">
        <f t="shared" si="7"/>
        <v>0</v>
      </c>
      <c r="N73" s="124">
        <f t="shared" si="7"/>
        <v>0</v>
      </c>
      <c r="O73" s="31">
        <v>0</v>
      </c>
      <c r="P73" s="123">
        <v>0</v>
      </c>
      <c r="Q73" s="173"/>
      <c r="R73" s="173"/>
    </row>
    <row r="74" spans="1:18" ht="36.75" customHeight="1" thickBot="1">
      <c r="A74" s="30" t="s">
        <v>71</v>
      </c>
      <c r="B74" s="508" t="s">
        <v>72</v>
      </c>
      <c r="C74" s="509"/>
      <c r="D74" s="510"/>
      <c r="E74" s="81">
        <f>E75</f>
        <v>4000</v>
      </c>
      <c r="F74" s="114">
        <f>F75+F76</f>
        <v>232500</v>
      </c>
      <c r="G74" s="32">
        <f>G75+G76+G77</f>
        <v>63055.5</v>
      </c>
      <c r="H74" s="23"/>
      <c r="I74" s="23">
        <f>I75+I76</f>
        <v>0</v>
      </c>
      <c r="J74" s="23"/>
      <c r="K74" s="23">
        <f>K75+K76+K77</f>
        <v>63055.5</v>
      </c>
      <c r="L74" s="23">
        <f>L75+L76+L77</f>
        <v>356777.72</v>
      </c>
      <c r="M74" s="120">
        <f t="shared" si="7"/>
        <v>-59055.5</v>
      </c>
      <c r="N74" s="125">
        <f t="shared" si="7"/>
        <v>-124277.71999999997</v>
      </c>
      <c r="O74" s="26">
        <v>0</v>
      </c>
      <c r="P74" s="27">
        <v>0</v>
      </c>
      <c r="Q74" s="173"/>
      <c r="R74" s="173"/>
    </row>
    <row r="75" spans="1:18" ht="29.25" customHeight="1" thickBot="1">
      <c r="A75" s="29" t="s">
        <v>173</v>
      </c>
      <c r="B75" s="340" t="s">
        <v>152</v>
      </c>
      <c r="C75" s="341"/>
      <c r="D75" s="342"/>
      <c r="E75" s="112">
        <v>4000</v>
      </c>
      <c r="F75" s="108">
        <f>228500+E75</f>
        <v>232500</v>
      </c>
      <c r="G75" s="13">
        <v>63055.5</v>
      </c>
      <c r="H75" s="15"/>
      <c r="I75" s="15"/>
      <c r="J75" s="15"/>
      <c r="K75" s="15">
        <f>G75</f>
        <v>63055.5</v>
      </c>
      <c r="L75" s="15">
        <f>275722.22+K75</f>
        <v>338777.72</v>
      </c>
      <c r="M75" s="119">
        <f>E75-K75</f>
        <v>-59055.5</v>
      </c>
      <c r="N75" s="124">
        <f t="shared" si="7"/>
        <v>-106277.71999999997</v>
      </c>
      <c r="O75" s="31">
        <v>0</v>
      </c>
      <c r="P75" s="123">
        <v>0</v>
      </c>
      <c r="Q75" s="173"/>
      <c r="R75" s="173"/>
    </row>
    <row r="76" spans="1:18" ht="27" customHeight="1" thickBot="1">
      <c r="A76" s="29" t="s">
        <v>174</v>
      </c>
      <c r="B76" s="340" t="s">
        <v>171</v>
      </c>
      <c r="C76" s="341"/>
      <c r="D76" s="342"/>
      <c r="E76" s="113"/>
      <c r="F76" s="108"/>
      <c r="G76" s="13"/>
      <c r="H76" s="15"/>
      <c r="I76" s="15"/>
      <c r="J76" s="15"/>
      <c r="K76" s="15">
        <f>I76</f>
        <v>0</v>
      </c>
      <c r="L76" s="15">
        <f>18000+K76</f>
        <v>18000</v>
      </c>
      <c r="M76" s="119">
        <f t="shared" si="7"/>
        <v>0</v>
      </c>
      <c r="N76" s="124">
        <f t="shared" si="7"/>
        <v>-18000</v>
      </c>
      <c r="O76" s="31">
        <v>0</v>
      </c>
      <c r="P76" s="123">
        <v>0</v>
      </c>
      <c r="Q76" s="173"/>
      <c r="R76" s="173"/>
    </row>
    <row r="77" spans="1:18" ht="18.75" customHeight="1" thickBot="1">
      <c r="A77" s="29" t="s">
        <v>175</v>
      </c>
      <c r="B77" s="96" t="s">
        <v>154</v>
      </c>
      <c r="C77" s="97"/>
      <c r="D77" s="98"/>
      <c r="E77" s="112"/>
      <c r="F77" s="108"/>
      <c r="G77" s="13"/>
      <c r="H77" s="15"/>
      <c r="I77" s="15"/>
      <c r="J77" s="15"/>
      <c r="K77" s="15">
        <f>0+J77</f>
        <v>0</v>
      </c>
      <c r="L77" s="15">
        <f>0+K77</f>
        <v>0</v>
      </c>
      <c r="M77" s="119">
        <f t="shared" si="7"/>
        <v>0</v>
      </c>
      <c r="N77" s="124">
        <f t="shared" si="7"/>
        <v>0</v>
      </c>
      <c r="O77" s="31">
        <v>0</v>
      </c>
      <c r="P77" s="123">
        <v>0</v>
      </c>
      <c r="Q77" s="173"/>
      <c r="R77" s="173"/>
    </row>
    <row r="78" spans="1:18" ht="49.5" customHeight="1" thickBot="1">
      <c r="A78" s="128" t="s">
        <v>73</v>
      </c>
      <c r="B78" s="395" t="s">
        <v>74</v>
      </c>
      <c r="C78" s="396"/>
      <c r="D78" s="397"/>
      <c r="E78" s="81">
        <f>E79</f>
        <v>0</v>
      </c>
      <c r="F78" s="114">
        <f>F79</f>
        <v>3000</v>
      </c>
      <c r="G78" s="32">
        <f>G79</f>
        <v>0</v>
      </c>
      <c r="H78" s="23"/>
      <c r="I78" s="23"/>
      <c r="J78" s="23"/>
      <c r="K78" s="23">
        <f>0+J78+G78</f>
        <v>0</v>
      </c>
      <c r="L78" s="23">
        <f>L79</f>
        <v>3408</v>
      </c>
      <c r="M78" s="120">
        <f t="shared" si="7"/>
        <v>0</v>
      </c>
      <c r="N78" s="125">
        <f t="shared" si="7"/>
        <v>-408</v>
      </c>
      <c r="O78" s="26">
        <v>0</v>
      </c>
      <c r="P78" s="27">
        <v>0</v>
      </c>
      <c r="Q78" s="173"/>
      <c r="R78" s="173"/>
    </row>
    <row r="79" spans="1:18" ht="30.75" customHeight="1" thickBot="1">
      <c r="A79" s="29" t="s">
        <v>176</v>
      </c>
      <c r="B79" s="340" t="s">
        <v>152</v>
      </c>
      <c r="C79" s="341"/>
      <c r="D79" s="342"/>
      <c r="E79" s="113"/>
      <c r="F79" s="108">
        <f>3000+E79</f>
        <v>3000</v>
      </c>
      <c r="G79" s="13"/>
      <c r="H79" s="15"/>
      <c r="I79" s="15"/>
      <c r="J79" s="15"/>
      <c r="K79" s="15">
        <f>0+J79+G79</f>
        <v>0</v>
      </c>
      <c r="L79" s="15">
        <f>3408+K79</f>
        <v>3408</v>
      </c>
      <c r="M79" s="119">
        <f>E79-K79</f>
        <v>0</v>
      </c>
      <c r="N79" s="124">
        <f t="shared" si="7"/>
        <v>-408</v>
      </c>
      <c r="O79" s="31">
        <v>0</v>
      </c>
      <c r="P79" s="123">
        <v>0</v>
      </c>
      <c r="Q79" s="173"/>
      <c r="R79" s="173"/>
    </row>
    <row r="80" spans="1:18" ht="15.75" thickBot="1">
      <c r="A80" s="128" t="s">
        <v>75</v>
      </c>
      <c r="B80" s="395" t="s">
        <v>76</v>
      </c>
      <c r="C80" s="396"/>
      <c r="D80" s="397"/>
      <c r="E80" s="81">
        <f>E81</f>
        <v>0</v>
      </c>
      <c r="F80" s="114">
        <f>F81</f>
        <v>37000</v>
      </c>
      <c r="G80" s="32">
        <f>G81+G82</f>
        <v>979.08</v>
      </c>
      <c r="H80" s="23"/>
      <c r="I80" s="23"/>
      <c r="J80" s="23"/>
      <c r="K80" s="23">
        <f>0+J80+G80</f>
        <v>979.08</v>
      </c>
      <c r="L80" s="23">
        <f>0+K80</f>
        <v>979.08</v>
      </c>
      <c r="M80" s="120">
        <f t="shared" si="7"/>
        <v>-979.08</v>
      </c>
      <c r="N80" s="125">
        <f t="shared" si="7"/>
        <v>36020.92</v>
      </c>
      <c r="O80" s="26">
        <v>0</v>
      </c>
      <c r="P80" s="27">
        <v>0</v>
      </c>
      <c r="Q80" s="173"/>
      <c r="R80" s="173"/>
    </row>
    <row r="81" spans="1:18" ht="26.25" customHeight="1" thickBot="1">
      <c r="A81" s="29" t="s">
        <v>177</v>
      </c>
      <c r="B81" s="340" t="s">
        <v>152</v>
      </c>
      <c r="C81" s="341"/>
      <c r="D81" s="342"/>
      <c r="E81" s="113"/>
      <c r="F81" s="108">
        <f>37000+E81</f>
        <v>37000</v>
      </c>
      <c r="G81" s="198">
        <v>979.08</v>
      </c>
      <c r="H81" s="199"/>
      <c r="I81" s="93"/>
      <c r="J81" s="199"/>
      <c r="K81" s="15">
        <f>0+J81+G81</f>
        <v>979.08</v>
      </c>
      <c r="L81" s="15">
        <f>0+K81</f>
        <v>979.08</v>
      </c>
      <c r="M81" s="119">
        <f t="shared" si="7"/>
        <v>-979.08</v>
      </c>
      <c r="N81" s="124">
        <f t="shared" si="7"/>
        <v>36020.92</v>
      </c>
      <c r="O81" s="31">
        <v>0</v>
      </c>
      <c r="P81" s="123">
        <v>0</v>
      </c>
      <c r="Q81" s="173"/>
      <c r="R81" s="173"/>
    </row>
    <row r="82" spans="1:18" ht="19.5" customHeight="1" thickBot="1">
      <c r="A82" s="29" t="s">
        <v>178</v>
      </c>
      <c r="B82" s="96" t="s">
        <v>154</v>
      </c>
      <c r="C82" s="97"/>
      <c r="D82" s="98"/>
      <c r="E82" s="113"/>
      <c r="F82" s="15"/>
      <c r="G82" s="13"/>
      <c r="H82" s="200"/>
      <c r="I82" s="15"/>
      <c r="J82" s="200"/>
      <c r="K82" s="15">
        <f>0+J82</f>
        <v>0</v>
      </c>
      <c r="L82" s="15"/>
      <c r="M82" s="119">
        <f>E82-K82</f>
        <v>0</v>
      </c>
      <c r="N82" s="124">
        <f t="shared" si="7"/>
        <v>0</v>
      </c>
      <c r="O82" s="31">
        <v>0</v>
      </c>
      <c r="P82" s="123">
        <v>0</v>
      </c>
      <c r="Q82" s="173"/>
      <c r="R82" s="173"/>
    </row>
    <row r="83" spans="1:18" ht="15">
      <c r="A83" s="398"/>
      <c r="B83" s="591" t="s">
        <v>30</v>
      </c>
      <c r="C83" s="592"/>
      <c r="D83" s="592"/>
      <c r="E83" s="592"/>
      <c r="F83" s="592"/>
      <c r="G83" s="592"/>
      <c r="H83" s="592"/>
      <c r="I83" s="592"/>
      <c r="J83" s="592"/>
      <c r="K83" s="592"/>
      <c r="L83" s="592"/>
      <c r="M83" s="592"/>
      <c r="N83" s="592"/>
      <c r="O83" s="592"/>
      <c r="P83" s="593"/>
      <c r="Q83" s="173"/>
      <c r="R83" s="173"/>
    </row>
    <row r="84" spans="1:18" ht="6" customHeight="1" thickBot="1">
      <c r="A84" s="399"/>
      <c r="B84" s="594"/>
      <c r="C84" s="595"/>
      <c r="D84" s="595"/>
      <c r="E84" s="595"/>
      <c r="F84" s="595"/>
      <c r="G84" s="595"/>
      <c r="H84" s="595"/>
      <c r="I84" s="595"/>
      <c r="J84" s="595"/>
      <c r="K84" s="595"/>
      <c r="L84" s="595"/>
      <c r="M84" s="595"/>
      <c r="N84" s="595"/>
      <c r="O84" s="595"/>
      <c r="P84" s="596"/>
      <c r="Q84" s="173"/>
      <c r="R84" s="173"/>
    </row>
    <row r="85" spans="1:18" ht="15.75" thickBot="1">
      <c r="A85" s="398"/>
      <c r="B85" s="550" t="s">
        <v>14</v>
      </c>
      <c r="C85" s="551"/>
      <c r="D85" s="552"/>
      <c r="E85" s="581" t="s">
        <v>24</v>
      </c>
      <c r="F85" s="583" t="s">
        <v>25</v>
      </c>
      <c r="G85" s="532" t="s">
        <v>31</v>
      </c>
      <c r="H85" s="522"/>
      <c r="I85" s="522"/>
      <c r="J85" s="522"/>
      <c r="K85" s="533"/>
      <c r="L85" s="534" t="s">
        <v>16</v>
      </c>
      <c r="M85" s="534" t="s">
        <v>17</v>
      </c>
      <c r="N85" s="534" t="s">
        <v>18</v>
      </c>
      <c r="O85" s="534" t="s">
        <v>19</v>
      </c>
      <c r="P85" s="534" t="s">
        <v>20</v>
      </c>
      <c r="Q85" s="173"/>
      <c r="R85" s="173"/>
    </row>
    <row r="86" spans="1:18" ht="85.5" customHeight="1" thickBot="1">
      <c r="A86" s="399"/>
      <c r="B86" s="553"/>
      <c r="C86" s="554"/>
      <c r="D86" s="555"/>
      <c r="E86" s="582"/>
      <c r="F86" s="584"/>
      <c r="G86" s="316" t="s">
        <v>32</v>
      </c>
      <c r="H86" s="316" t="s">
        <v>33</v>
      </c>
      <c r="I86" s="316" t="s">
        <v>34</v>
      </c>
      <c r="J86" s="175" t="s">
        <v>77</v>
      </c>
      <c r="K86" s="176" t="s">
        <v>27</v>
      </c>
      <c r="L86" s="535"/>
      <c r="M86" s="535"/>
      <c r="N86" s="535"/>
      <c r="O86" s="535"/>
      <c r="P86" s="535"/>
      <c r="Q86" s="173"/>
      <c r="R86" s="173"/>
    </row>
    <row r="87" spans="1:18" ht="15.75" thickBot="1">
      <c r="A87" s="29"/>
      <c r="B87" s="536">
        <v>1</v>
      </c>
      <c r="C87" s="537"/>
      <c r="D87" s="538"/>
      <c r="E87" s="180" t="s">
        <v>22</v>
      </c>
      <c r="F87" s="316">
        <v>3</v>
      </c>
      <c r="G87" s="316">
        <v>4</v>
      </c>
      <c r="H87" s="316">
        <v>5</v>
      </c>
      <c r="I87" s="175">
        <v>6</v>
      </c>
      <c r="J87" s="175">
        <v>7</v>
      </c>
      <c r="K87" s="192">
        <v>8</v>
      </c>
      <c r="L87" s="320">
        <v>9</v>
      </c>
      <c r="M87" s="175">
        <v>10</v>
      </c>
      <c r="N87" s="320">
        <v>11</v>
      </c>
      <c r="O87" s="175">
        <v>12</v>
      </c>
      <c r="P87" s="320">
        <v>13</v>
      </c>
      <c r="Q87" s="173"/>
      <c r="R87" s="173"/>
    </row>
    <row r="88" spans="1:18" ht="40.5" customHeight="1" thickBot="1">
      <c r="A88" s="22" t="s">
        <v>78</v>
      </c>
      <c r="B88" s="395" t="s">
        <v>79</v>
      </c>
      <c r="C88" s="396"/>
      <c r="D88" s="397"/>
      <c r="E88" s="81">
        <f>E89</f>
        <v>27555</v>
      </c>
      <c r="F88" s="114">
        <f>F89+F90+F91+F92</f>
        <v>324660</v>
      </c>
      <c r="G88" s="81">
        <f>G89+G90+G91+G92</f>
        <v>40019.649999999994</v>
      </c>
      <c r="H88" s="23"/>
      <c r="I88" s="23">
        <f>I89+I90+I91</f>
        <v>0</v>
      </c>
      <c r="J88" s="23"/>
      <c r="K88" s="83">
        <f>K89+K90+K91+K92</f>
        <v>40019.649999999994</v>
      </c>
      <c r="L88" s="23">
        <f>L89+L90+L91+L92</f>
        <v>334250.12</v>
      </c>
      <c r="M88" s="120">
        <f aca="true" t="shared" si="8" ref="M88:N103">E88-K88</f>
        <v>-12464.649999999994</v>
      </c>
      <c r="N88" s="125">
        <f t="shared" si="8"/>
        <v>-9590.119999999995</v>
      </c>
      <c r="O88" s="26">
        <v>0</v>
      </c>
      <c r="P88" s="27">
        <v>0</v>
      </c>
      <c r="Q88" s="18"/>
      <c r="R88" s="173"/>
    </row>
    <row r="89" spans="1:18" ht="26.25" customHeight="1" thickBot="1">
      <c r="A89" s="29" t="s">
        <v>179</v>
      </c>
      <c r="B89" s="340" t="s">
        <v>152</v>
      </c>
      <c r="C89" s="341"/>
      <c r="D89" s="342"/>
      <c r="E89" s="112">
        <f>E93+E94+E96+E97+E98+E100+E99+E95</f>
        <v>27555</v>
      </c>
      <c r="F89" s="108">
        <f>297105+E89</f>
        <v>324660</v>
      </c>
      <c r="G89" s="82">
        <f>G93+G94+G96+G97+G98+G99+G100</f>
        <v>40019.649999999994</v>
      </c>
      <c r="H89" s="15"/>
      <c r="I89" s="15"/>
      <c r="J89" s="15"/>
      <c r="K89" s="84">
        <f>G89</f>
        <v>40019.649999999994</v>
      </c>
      <c r="L89" s="15">
        <f>L93+L94+L96+L97+L98+L99+L100+L95</f>
        <v>334250.12</v>
      </c>
      <c r="M89" s="119">
        <f t="shared" si="8"/>
        <v>-12464.649999999994</v>
      </c>
      <c r="N89" s="124">
        <f t="shared" si="8"/>
        <v>-9590.119999999995</v>
      </c>
      <c r="O89" s="31">
        <v>0</v>
      </c>
      <c r="P89" s="123">
        <v>0</v>
      </c>
      <c r="Q89" s="18"/>
      <c r="R89" s="173"/>
    </row>
    <row r="90" spans="1:18" ht="21.75" customHeight="1" thickBot="1">
      <c r="A90" s="29" t="s">
        <v>180</v>
      </c>
      <c r="B90" s="390" t="s">
        <v>151</v>
      </c>
      <c r="C90" s="391"/>
      <c r="D90" s="392"/>
      <c r="E90" s="112"/>
      <c r="F90" s="108"/>
      <c r="G90" s="82"/>
      <c r="H90" s="15"/>
      <c r="I90" s="15"/>
      <c r="J90" s="15"/>
      <c r="K90" s="84">
        <f aca="true" t="shared" si="9" ref="K90:K99">G90</f>
        <v>0</v>
      </c>
      <c r="L90" s="15"/>
      <c r="M90" s="119">
        <f t="shared" si="8"/>
        <v>0</v>
      </c>
      <c r="N90" s="124">
        <f t="shared" si="8"/>
        <v>0</v>
      </c>
      <c r="O90" s="31">
        <v>0</v>
      </c>
      <c r="P90" s="123">
        <v>0</v>
      </c>
      <c r="Q90" s="18"/>
      <c r="R90" s="173"/>
    </row>
    <row r="91" spans="1:18" ht="29.25" customHeight="1" thickBot="1">
      <c r="A91" s="29" t="s">
        <v>181</v>
      </c>
      <c r="B91" s="340" t="s">
        <v>171</v>
      </c>
      <c r="C91" s="341"/>
      <c r="D91" s="342"/>
      <c r="E91" s="112"/>
      <c r="F91" s="108"/>
      <c r="G91" s="82"/>
      <c r="H91" s="15"/>
      <c r="I91" s="15">
        <f>I97</f>
        <v>0</v>
      </c>
      <c r="J91" s="15"/>
      <c r="K91" s="84">
        <f>I91</f>
        <v>0</v>
      </c>
      <c r="L91" s="15">
        <f>0+K91</f>
        <v>0</v>
      </c>
      <c r="M91" s="119">
        <f t="shared" si="8"/>
        <v>0</v>
      </c>
      <c r="N91" s="124">
        <f t="shared" si="8"/>
        <v>0</v>
      </c>
      <c r="O91" s="31">
        <v>0</v>
      </c>
      <c r="P91" s="123">
        <v>0</v>
      </c>
      <c r="Q91" s="18"/>
      <c r="R91" s="173"/>
    </row>
    <row r="92" spans="1:18" ht="18.75" customHeight="1" thickBot="1">
      <c r="A92" s="29" t="s">
        <v>182</v>
      </c>
      <c r="B92" s="340" t="s">
        <v>154</v>
      </c>
      <c r="C92" s="341"/>
      <c r="D92" s="342"/>
      <c r="E92" s="112"/>
      <c r="F92" s="108"/>
      <c r="G92" s="82"/>
      <c r="H92" s="15"/>
      <c r="I92" s="15"/>
      <c r="J92" s="15"/>
      <c r="K92" s="84">
        <f t="shared" si="9"/>
        <v>0</v>
      </c>
      <c r="L92" s="15">
        <f>0+K92</f>
        <v>0</v>
      </c>
      <c r="M92" s="119">
        <f t="shared" si="8"/>
        <v>0</v>
      </c>
      <c r="N92" s="124">
        <f t="shared" si="8"/>
        <v>0</v>
      </c>
      <c r="O92" s="31">
        <v>0</v>
      </c>
      <c r="P92" s="123">
        <v>0</v>
      </c>
      <c r="Q92" s="18"/>
      <c r="R92" s="196">
        <f>L93+L94+L95+L96+L97+L98+L99+L100</f>
        <v>334250.12</v>
      </c>
    </row>
    <row r="93" spans="1:18" ht="15.75" thickBot="1">
      <c r="A93" s="29" t="s">
        <v>80</v>
      </c>
      <c r="B93" s="359" t="s">
        <v>81</v>
      </c>
      <c r="C93" s="360"/>
      <c r="D93" s="361"/>
      <c r="E93" s="108">
        <v>3000</v>
      </c>
      <c r="F93" s="108">
        <f>33000+E93</f>
        <v>36000</v>
      </c>
      <c r="G93" s="82">
        <v>9000</v>
      </c>
      <c r="H93" s="13"/>
      <c r="I93" s="13"/>
      <c r="J93" s="13"/>
      <c r="K93" s="84">
        <f t="shared" si="9"/>
        <v>9000</v>
      </c>
      <c r="L93" s="15">
        <f>27000+K93</f>
        <v>36000</v>
      </c>
      <c r="M93" s="119">
        <f t="shared" si="8"/>
        <v>-6000</v>
      </c>
      <c r="N93" s="124">
        <f t="shared" si="8"/>
        <v>0</v>
      </c>
      <c r="O93" s="31">
        <v>0</v>
      </c>
      <c r="P93" s="123">
        <v>0</v>
      </c>
      <c r="Q93" s="173"/>
      <c r="R93" s="18">
        <f>L89+L90+L91+L92</f>
        <v>334250.12</v>
      </c>
    </row>
    <row r="94" spans="1:18" ht="27" customHeight="1" thickBot="1">
      <c r="A94" s="29" t="s">
        <v>82</v>
      </c>
      <c r="B94" s="387" t="s">
        <v>209</v>
      </c>
      <c r="C94" s="388"/>
      <c r="D94" s="389"/>
      <c r="E94" s="108">
        <v>4400</v>
      </c>
      <c r="F94" s="108">
        <f>48400+E94</f>
        <v>52800</v>
      </c>
      <c r="G94" s="82">
        <v>4400</v>
      </c>
      <c r="H94" s="13"/>
      <c r="I94" s="13"/>
      <c r="J94" s="13"/>
      <c r="K94" s="84">
        <f>G94</f>
        <v>4400</v>
      </c>
      <c r="L94" s="15">
        <f>26400+K94</f>
        <v>30800</v>
      </c>
      <c r="M94" s="119">
        <f t="shared" si="8"/>
        <v>0</v>
      </c>
      <c r="N94" s="124">
        <f t="shared" si="8"/>
        <v>22000</v>
      </c>
      <c r="O94" s="31">
        <v>0</v>
      </c>
      <c r="P94" s="123">
        <v>0</v>
      </c>
      <c r="Q94" s="173"/>
      <c r="R94" s="173"/>
    </row>
    <row r="95" spans="1:18" ht="28.5" customHeight="1" thickBot="1">
      <c r="A95" s="29" t="s">
        <v>83</v>
      </c>
      <c r="B95" s="359" t="s">
        <v>231</v>
      </c>
      <c r="C95" s="360"/>
      <c r="D95" s="361"/>
      <c r="E95" s="108"/>
      <c r="F95" s="108">
        <f>0+E95</f>
        <v>0</v>
      </c>
      <c r="G95" s="82"/>
      <c r="H95" s="13"/>
      <c r="I95" s="13"/>
      <c r="J95" s="13"/>
      <c r="K95" s="84">
        <f t="shared" si="9"/>
        <v>0</v>
      </c>
      <c r="L95" s="15">
        <f>77795+K95</f>
        <v>77795</v>
      </c>
      <c r="M95" s="119">
        <f t="shared" si="8"/>
        <v>0</v>
      </c>
      <c r="N95" s="124">
        <f t="shared" si="8"/>
        <v>-77795</v>
      </c>
      <c r="O95" s="31">
        <v>0</v>
      </c>
      <c r="P95" s="123">
        <v>0</v>
      </c>
      <c r="Q95" s="173"/>
      <c r="R95" s="173"/>
    </row>
    <row r="96" spans="1:18" ht="15.75" thickBot="1">
      <c r="A96" s="29" t="s">
        <v>85</v>
      </c>
      <c r="B96" s="359" t="s">
        <v>86</v>
      </c>
      <c r="C96" s="360"/>
      <c r="D96" s="361"/>
      <c r="E96" s="108">
        <v>1355</v>
      </c>
      <c r="F96" s="108">
        <f>14905+E96</f>
        <v>16260</v>
      </c>
      <c r="G96" s="82">
        <v>2200</v>
      </c>
      <c r="H96" s="13"/>
      <c r="I96" s="13"/>
      <c r="J96" s="13"/>
      <c r="K96" s="84">
        <f t="shared" si="9"/>
        <v>2200</v>
      </c>
      <c r="L96" s="15">
        <f>10155+K96</f>
        <v>12355</v>
      </c>
      <c r="M96" s="119">
        <f t="shared" si="8"/>
        <v>-845</v>
      </c>
      <c r="N96" s="124">
        <f t="shared" si="8"/>
        <v>3905</v>
      </c>
      <c r="O96" s="31">
        <v>0</v>
      </c>
      <c r="P96" s="123">
        <v>0</v>
      </c>
      <c r="Q96" s="173"/>
      <c r="R96" s="173"/>
    </row>
    <row r="97" spans="1:18" ht="15.75" thickBot="1">
      <c r="A97" s="29" t="s">
        <v>87</v>
      </c>
      <c r="B97" s="359" t="s">
        <v>88</v>
      </c>
      <c r="C97" s="360"/>
      <c r="D97" s="361"/>
      <c r="E97" s="108">
        <v>7500</v>
      </c>
      <c r="F97" s="108">
        <f>76500+E97</f>
        <v>84000</v>
      </c>
      <c r="G97" s="82">
        <v>9504.85</v>
      </c>
      <c r="H97" s="13"/>
      <c r="I97" s="13"/>
      <c r="J97" s="13"/>
      <c r="K97" s="84">
        <f>G97+I97</f>
        <v>9504.85</v>
      </c>
      <c r="L97" s="15">
        <f>60262.15+K97</f>
        <v>69767</v>
      </c>
      <c r="M97" s="119">
        <f t="shared" si="8"/>
        <v>-2004.8500000000004</v>
      </c>
      <c r="N97" s="124">
        <f t="shared" si="8"/>
        <v>14233</v>
      </c>
      <c r="O97" s="31">
        <v>0</v>
      </c>
      <c r="P97" s="123">
        <v>0</v>
      </c>
      <c r="Q97" s="173"/>
      <c r="R97" s="248">
        <f>F93+F94+F95+F96+F97+F98+F99+F100</f>
        <v>324660</v>
      </c>
    </row>
    <row r="98" spans="1:16" ht="15.75" thickBot="1">
      <c r="A98" s="29" t="s">
        <v>89</v>
      </c>
      <c r="B98" s="359" t="s">
        <v>90</v>
      </c>
      <c r="C98" s="360"/>
      <c r="D98" s="361"/>
      <c r="E98" s="108">
        <v>1500</v>
      </c>
      <c r="F98" s="108">
        <f>16500+E98</f>
        <v>18000</v>
      </c>
      <c r="G98" s="82">
        <v>5544</v>
      </c>
      <c r="H98" s="13"/>
      <c r="I98" s="13"/>
      <c r="J98" s="13"/>
      <c r="K98" s="84">
        <f t="shared" si="9"/>
        <v>5544</v>
      </c>
      <c r="L98" s="15">
        <f>23676+K98</f>
        <v>29220</v>
      </c>
      <c r="M98" s="119">
        <f t="shared" si="8"/>
        <v>-4044</v>
      </c>
      <c r="N98" s="124">
        <f t="shared" si="8"/>
        <v>-11220</v>
      </c>
      <c r="O98" s="31">
        <v>0</v>
      </c>
      <c r="P98" s="123">
        <v>0</v>
      </c>
    </row>
    <row r="99" spans="1:16" ht="30" customHeight="1" thickBot="1">
      <c r="A99" s="29" t="s">
        <v>91</v>
      </c>
      <c r="B99" s="359" t="s">
        <v>92</v>
      </c>
      <c r="C99" s="360"/>
      <c r="D99" s="361"/>
      <c r="E99" s="108">
        <v>0</v>
      </c>
      <c r="F99" s="108">
        <f>0+E99</f>
        <v>0</v>
      </c>
      <c r="G99" s="82"/>
      <c r="H99" s="13"/>
      <c r="I99" s="13"/>
      <c r="J99" s="13"/>
      <c r="K99" s="84">
        <f t="shared" si="9"/>
        <v>0</v>
      </c>
      <c r="L99" s="15">
        <f>0+K99</f>
        <v>0</v>
      </c>
      <c r="M99" s="119">
        <f t="shared" si="8"/>
        <v>0</v>
      </c>
      <c r="N99" s="124">
        <f t="shared" si="8"/>
        <v>0</v>
      </c>
      <c r="O99" s="31">
        <v>0</v>
      </c>
      <c r="P99" s="123">
        <v>0</v>
      </c>
    </row>
    <row r="100" spans="1:16" ht="15.75" thickBot="1">
      <c r="A100" s="29" t="s">
        <v>93</v>
      </c>
      <c r="B100" s="359" t="s">
        <v>94</v>
      </c>
      <c r="C100" s="360"/>
      <c r="D100" s="361"/>
      <c r="E100" s="108">
        <v>9800</v>
      </c>
      <c r="F100" s="108">
        <f>107800+E100</f>
        <v>117600</v>
      </c>
      <c r="G100" s="82">
        <v>9370.8</v>
      </c>
      <c r="H100" s="13"/>
      <c r="I100" s="13"/>
      <c r="J100" s="13"/>
      <c r="K100" s="84">
        <f>G100</f>
        <v>9370.8</v>
      </c>
      <c r="L100" s="15">
        <f>68942.32+K100</f>
        <v>78313.12000000001</v>
      </c>
      <c r="M100" s="119">
        <f t="shared" si="8"/>
        <v>429.2000000000007</v>
      </c>
      <c r="N100" s="124">
        <f t="shared" si="8"/>
        <v>39286.87999999999</v>
      </c>
      <c r="O100" s="31">
        <v>0</v>
      </c>
      <c r="P100" s="123">
        <v>0</v>
      </c>
    </row>
    <row r="101" spans="1:18" ht="30.75" customHeight="1" thickBot="1">
      <c r="A101" s="56" t="s">
        <v>95</v>
      </c>
      <c r="B101" s="425" t="s">
        <v>96</v>
      </c>
      <c r="C101" s="323"/>
      <c r="D101" s="324"/>
      <c r="E101" s="114">
        <f>E102+E103</f>
        <v>14251</v>
      </c>
      <c r="F101" s="114">
        <f>822704+E101</f>
        <v>836955</v>
      </c>
      <c r="G101" s="114">
        <f>G102+G104+G105</f>
        <v>56677.17</v>
      </c>
      <c r="H101" s="32">
        <f>H103</f>
        <v>0</v>
      </c>
      <c r="I101" s="23">
        <f>I104</f>
        <v>0</v>
      </c>
      <c r="J101" s="23"/>
      <c r="K101" s="114">
        <f>G101+H101+I101+J101</f>
        <v>56677.17</v>
      </c>
      <c r="L101" s="23">
        <f>L102+L103+L104+L105</f>
        <v>699049.94</v>
      </c>
      <c r="M101" s="120">
        <f t="shared" si="8"/>
        <v>-42426.17</v>
      </c>
      <c r="N101" s="125">
        <f t="shared" si="8"/>
        <v>137905.06000000006</v>
      </c>
      <c r="O101" s="26">
        <v>0</v>
      </c>
      <c r="P101" s="27">
        <v>0</v>
      </c>
      <c r="R101" s="197">
        <f>L102+L104-L101</f>
        <v>-153006</v>
      </c>
    </row>
    <row r="102" spans="1:18" ht="27.75" customHeight="1" thickBot="1">
      <c r="A102" s="29" t="s">
        <v>183</v>
      </c>
      <c r="B102" s="340" t="s">
        <v>152</v>
      </c>
      <c r="C102" s="341"/>
      <c r="D102" s="342"/>
      <c r="E102" s="112">
        <f>E106+E107+E114+E119+E131+E113+E128+E115+E120</f>
        <v>1500</v>
      </c>
      <c r="F102" s="108">
        <f>696700+E102</f>
        <v>698200</v>
      </c>
      <c r="G102" s="13">
        <f>G106+G107+G108+G109+G110+G111+G112+G113+G114+G115+G116+G117+G118+G119+G126+G127+G128+G129+G130+G131+G120</f>
        <v>56677.17</v>
      </c>
      <c r="H102" s="13"/>
      <c r="I102" s="15"/>
      <c r="J102" s="15"/>
      <c r="K102" s="84">
        <f>G102</f>
        <v>56677.17</v>
      </c>
      <c r="L102" s="15">
        <f>368167.77+K102</f>
        <v>424844.94</v>
      </c>
      <c r="M102" s="119">
        <f t="shared" si="8"/>
        <v>-55177.17</v>
      </c>
      <c r="N102" s="124">
        <f t="shared" si="8"/>
        <v>273355.06</v>
      </c>
      <c r="O102" s="31">
        <v>0</v>
      </c>
      <c r="P102" s="123">
        <v>0</v>
      </c>
      <c r="R102" s="197"/>
    </row>
    <row r="103" spans="1:18" ht="19.5" customHeight="1" thickBot="1">
      <c r="A103" s="29" t="s">
        <v>184</v>
      </c>
      <c r="B103" s="390" t="s">
        <v>151</v>
      </c>
      <c r="C103" s="391"/>
      <c r="D103" s="392"/>
      <c r="E103" s="112">
        <f>E129</f>
        <v>12751</v>
      </c>
      <c r="F103" s="108">
        <f>140255+E103</f>
        <v>153006</v>
      </c>
      <c r="G103" s="13"/>
      <c r="H103" s="13">
        <f>H129</f>
        <v>0</v>
      </c>
      <c r="I103" s="15"/>
      <c r="J103" s="15"/>
      <c r="K103" s="84">
        <f>H103</f>
        <v>0</v>
      </c>
      <c r="L103" s="15">
        <f>153006+K103</f>
        <v>153006</v>
      </c>
      <c r="M103" s="119">
        <f t="shared" si="8"/>
        <v>12751</v>
      </c>
      <c r="N103" s="124">
        <f t="shared" si="8"/>
        <v>0</v>
      </c>
      <c r="O103" s="31">
        <v>0</v>
      </c>
      <c r="P103" s="123">
        <v>0</v>
      </c>
      <c r="R103" s="201"/>
    </row>
    <row r="104" spans="1:16" ht="26.25" customHeight="1" thickBot="1">
      <c r="A104" s="29" t="s">
        <v>185</v>
      </c>
      <c r="B104" s="340" t="s">
        <v>171</v>
      </c>
      <c r="C104" s="341"/>
      <c r="D104" s="342"/>
      <c r="E104" s="112"/>
      <c r="F104" s="108"/>
      <c r="G104" s="108"/>
      <c r="H104" s="13"/>
      <c r="I104" s="15">
        <f>I128+I117+I131</f>
        <v>0</v>
      </c>
      <c r="J104" s="15"/>
      <c r="K104" s="84">
        <f>I104</f>
        <v>0</v>
      </c>
      <c r="L104" s="15">
        <f>121199+K104</f>
        <v>121199</v>
      </c>
      <c r="M104" s="119">
        <f aca="true" t="shared" si="10" ref="M104:N120">E104-K104</f>
        <v>0</v>
      </c>
      <c r="N104" s="124">
        <f t="shared" si="10"/>
        <v>-121199</v>
      </c>
      <c r="O104" s="31">
        <v>0</v>
      </c>
      <c r="P104" s="123">
        <v>0</v>
      </c>
    </row>
    <row r="105" spans="1:18" ht="24" customHeight="1" thickBot="1">
      <c r="A105" s="29" t="s">
        <v>186</v>
      </c>
      <c r="B105" s="390" t="s">
        <v>154</v>
      </c>
      <c r="C105" s="391"/>
      <c r="D105" s="392"/>
      <c r="E105" s="112"/>
      <c r="F105" s="108"/>
      <c r="G105" s="13"/>
      <c r="H105" s="13"/>
      <c r="I105" s="15"/>
      <c r="J105" s="15"/>
      <c r="K105" s="84">
        <f>G105</f>
        <v>0</v>
      </c>
      <c r="L105" s="15">
        <f>0+K105</f>
        <v>0</v>
      </c>
      <c r="M105" s="119">
        <f t="shared" si="10"/>
        <v>0</v>
      </c>
      <c r="N105" s="124">
        <f t="shared" si="10"/>
        <v>0</v>
      </c>
      <c r="O105" s="31">
        <v>0</v>
      </c>
      <c r="P105" s="123">
        <v>0</v>
      </c>
      <c r="R105" s="197">
        <f>L106+L113+L114+L118+L119+L131</f>
        <v>192943.02000000002</v>
      </c>
    </row>
    <row r="106" spans="1:16" ht="20.25" customHeight="1" thickBot="1">
      <c r="A106" s="29" t="s">
        <v>97</v>
      </c>
      <c r="B106" s="511" t="s">
        <v>98</v>
      </c>
      <c r="C106" s="512"/>
      <c r="D106" s="513"/>
      <c r="E106" s="108"/>
      <c r="F106" s="108">
        <f>32600+E106</f>
        <v>32600</v>
      </c>
      <c r="G106" s="13">
        <v>8600</v>
      </c>
      <c r="H106" s="13"/>
      <c r="I106" s="13"/>
      <c r="J106" s="13"/>
      <c r="K106" s="84">
        <f aca="true" t="shared" si="11" ref="K106:K120">G106</f>
        <v>8600</v>
      </c>
      <c r="L106" s="15">
        <f>39800+K106</f>
        <v>48400</v>
      </c>
      <c r="M106" s="119">
        <f t="shared" si="10"/>
        <v>-8600</v>
      </c>
      <c r="N106" s="124">
        <f t="shared" si="10"/>
        <v>-15800</v>
      </c>
      <c r="O106" s="31">
        <v>0</v>
      </c>
      <c r="P106" s="123">
        <v>0</v>
      </c>
    </row>
    <row r="107" spans="1:16" ht="23.25" customHeight="1" thickBot="1">
      <c r="A107" s="29" t="s">
        <v>99</v>
      </c>
      <c r="B107" s="359" t="s">
        <v>100</v>
      </c>
      <c r="C107" s="360"/>
      <c r="D107" s="361"/>
      <c r="E107" s="108"/>
      <c r="F107" s="108">
        <f>15000+E107</f>
        <v>15000</v>
      </c>
      <c r="G107" s="13"/>
      <c r="H107" s="13"/>
      <c r="I107" s="13"/>
      <c r="J107" s="13"/>
      <c r="K107" s="84">
        <f t="shared" si="11"/>
        <v>0</v>
      </c>
      <c r="L107" s="15">
        <f>0+K107</f>
        <v>0</v>
      </c>
      <c r="M107" s="119">
        <f t="shared" si="10"/>
        <v>0</v>
      </c>
      <c r="N107" s="124">
        <f t="shared" si="10"/>
        <v>15000</v>
      </c>
      <c r="O107" s="31">
        <v>0</v>
      </c>
      <c r="P107" s="123">
        <v>0</v>
      </c>
    </row>
    <row r="108" spans="1:16" ht="30" customHeight="1" thickBot="1">
      <c r="A108" s="29" t="s">
        <v>101</v>
      </c>
      <c r="B108" s="384" t="s">
        <v>102</v>
      </c>
      <c r="C108" s="385"/>
      <c r="D108" s="386"/>
      <c r="E108" s="108"/>
      <c r="F108" s="108"/>
      <c r="G108" s="13"/>
      <c r="H108" s="13"/>
      <c r="I108" s="13"/>
      <c r="J108" s="13"/>
      <c r="K108" s="84">
        <f t="shared" si="11"/>
        <v>0</v>
      </c>
      <c r="L108" s="15">
        <f>0+K108</f>
        <v>0</v>
      </c>
      <c r="M108" s="119">
        <f t="shared" si="10"/>
        <v>0</v>
      </c>
      <c r="N108" s="124">
        <f t="shared" si="10"/>
        <v>0</v>
      </c>
      <c r="O108" s="31">
        <v>0</v>
      </c>
      <c r="P108" s="123">
        <v>0</v>
      </c>
    </row>
    <row r="109" spans="1:16" ht="15.75" thickBot="1">
      <c r="A109" s="29" t="s">
        <v>103</v>
      </c>
      <c r="B109" s="359" t="s">
        <v>104</v>
      </c>
      <c r="C109" s="360"/>
      <c r="D109" s="361"/>
      <c r="E109" s="108"/>
      <c r="F109" s="108"/>
      <c r="G109" s="13"/>
      <c r="H109" s="13"/>
      <c r="I109" s="13"/>
      <c r="J109" s="13"/>
      <c r="K109" s="84">
        <f t="shared" si="11"/>
        <v>0</v>
      </c>
      <c r="L109" s="15">
        <f>0+K109</f>
        <v>0</v>
      </c>
      <c r="M109" s="119">
        <f t="shared" si="10"/>
        <v>0</v>
      </c>
      <c r="N109" s="124">
        <f t="shared" si="10"/>
        <v>0</v>
      </c>
      <c r="O109" s="31">
        <v>0</v>
      </c>
      <c r="P109" s="123">
        <v>0</v>
      </c>
    </row>
    <row r="110" spans="1:18" ht="32.25" customHeight="1" thickBot="1">
      <c r="A110" s="29" t="s">
        <v>105</v>
      </c>
      <c r="B110" s="359" t="s">
        <v>106</v>
      </c>
      <c r="C110" s="360"/>
      <c r="D110" s="361"/>
      <c r="E110" s="108"/>
      <c r="F110" s="108"/>
      <c r="G110" s="13"/>
      <c r="H110" s="13"/>
      <c r="I110" s="13"/>
      <c r="J110" s="13"/>
      <c r="K110" s="84">
        <f t="shared" si="11"/>
        <v>0</v>
      </c>
      <c r="L110" s="15">
        <f>0+K110</f>
        <v>0</v>
      </c>
      <c r="M110" s="119">
        <f t="shared" si="10"/>
        <v>0</v>
      </c>
      <c r="N110" s="124">
        <f t="shared" si="10"/>
        <v>0</v>
      </c>
      <c r="O110" s="31">
        <v>0</v>
      </c>
      <c r="P110" s="123">
        <v>0</v>
      </c>
      <c r="R110" s="201"/>
    </row>
    <row r="111" spans="1:16" ht="17.25" customHeight="1" thickBot="1">
      <c r="A111" s="29" t="s">
        <v>107</v>
      </c>
      <c r="B111" s="384" t="s">
        <v>108</v>
      </c>
      <c r="C111" s="385"/>
      <c r="D111" s="386"/>
      <c r="E111" s="108"/>
      <c r="F111" s="108"/>
      <c r="G111" s="13"/>
      <c r="H111" s="13"/>
      <c r="I111" s="13"/>
      <c r="J111" s="13"/>
      <c r="K111" s="84">
        <f t="shared" si="11"/>
        <v>0</v>
      </c>
      <c r="L111" s="15">
        <f>0+K111</f>
        <v>0</v>
      </c>
      <c r="M111" s="119">
        <f t="shared" si="10"/>
        <v>0</v>
      </c>
      <c r="N111" s="124">
        <f t="shared" si="10"/>
        <v>0</v>
      </c>
      <c r="O111" s="31">
        <v>0</v>
      </c>
      <c r="P111" s="123">
        <v>0</v>
      </c>
    </row>
    <row r="112" spans="1:16" ht="15.75" thickBot="1">
      <c r="A112" s="29" t="s">
        <v>109</v>
      </c>
      <c r="B112" s="359" t="s">
        <v>110</v>
      </c>
      <c r="C112" s="360"/>
      <c r="D112" s="361"/>
      <c r="E112" s="108"/>
      <c r="F112" s="108"/>
      <c r="G112" s="13"/>
      <c r="H112" s="13"/>
      <c r="I112" s="13"/>
      <c r="J112" s="13"/>
      <c r="K112" s="84">
        <f t="shared" si="11"/>
        <v>0</v>
      </c>
      <c r="L112" s="15">
        <f>0+K112</f>
        <v>0</v>
      </c>
      <c r="M112" s="119">
        <f t="shared" si="10"/>
        <v>0</v>
      </c>
      <c r="N112" s="124">
        <f t="shared" si="10"/>
        <v>0</v>
      </c>
      <c r="O112" s="31">
        <v>0</v>
      </c>
      <c r="P112" s="123">
        <v>0</v>
      </c>
    </row>
    <row r="113" spans="1:16" ht="15.75" thickBot="1">
      <c r="A113" s="29" t="s">
        <v>111</v>
      </c>
      <c r="B113" s="359" t="s">
        <v>112</v>
      </c>
      <c r="C113" s="360"/>
      <c r="D113" s="361"/>
      <c r="E113" s="108"/>
      <c r="F113" s="108">
        <f>40000+E113</f>
        <v>40000</v>
      </c>
      <c r="G113" s="13"/>
      <c r="H113" s="13"/>
      <c r="I113" s="13"/>
      <c r="J113" s="13"/>
      <c r="K113" s="84">
        <f t="shared" si="11"/>
        <v>0</v>
      </c>
      <c r="L113" s="15">
        <f>30700+K113</f>
        <v>30700</v>
      </c>
      <c r="M113" s="119">
        <f t="shared" si="10"/>
        <v>0</v>
      </c>
      <c r="N113" s="124">
        <f t="shared" si="10"/>
        <v>9300</v>
      </c>
      <c r="O113" s="31">
        <v>0</v>
      </c>
      <c r="P113" s="123">
        <v>0</v>
      </c>
    </row>
    <row r="114" spans="1:16" ht="30" customHeight="1" thickBot="1">
      <c r="A114" s="29" t="s">
        <v>113</v>
      </c>
      <c r="B114" s="359" t="s">
        <v>114</v>
      </c>
      <c r="C114" s="360"/>
      <c r="D114" s="361"/>
      <c r="E114" s="108">
        <v>1500</v>
      </c>
      <c r="F114" s="108">
        <f>16500+E114</f>
        <v>18000</v>
      </c>
      <c r="G114" s="13">
        <v>1740.62</v>
      </c>
      <c r="H114" s="13"/>
      <c r="I114" s="13"/>
      <c r="J114" s="13"/>
      <c r="K114" s="84">
        <f t="shared" si="11"/>
        <v>1740.62</v>
      </c>
      <c r="L114" s="15">
        <f>27170.77+K114</f>
        <v>28911.39</v>
      </c>
      <c r="M114" s="119">
        <f t="shared" si="10"/>
        <v>-240.6199999999999</v>
      </c>
      <c r="N114" s="124">
        <f t="shared" si="10"/>
        <v>-10911.39</v>
      </c>
      <c r="O114" s="31">
        <v>0</v>
      </c>
      <c r="P114" s="123">
        <v>0</v>
      </c>
    </row>
    <row r="115" spans="1:16" ht="30.75" customHeight="1" thickBot="1">
      <c r="A115" s="29" t="s">
        <v>115</v>
      </c>
      <c r="B115" s="359" t="s">
        <v>116</v>
      </c>
      <c r="C115" s="360"/>
      <c r="D115" s="361"/>
      <c r="E115" s="108"/>
      <c r="F115" s="108">
        <f>160000+E115</f>
        <v>160000</v>
      </c>
      <c r="G115" s="13"/>
      <c r="H115" s="13"/>
      <c r="I115" s="13"/>
      <c r="J115" s="13"/>
      <c r="K115" s="84">
        <f t="shared" si="11"/>
        <v>0</v>
      </c>
      <c r="L115" s="15">
        <f>0+K115</f>
        <v>0</v>
      </c>
      <c r="M115" s="119">
        <f t="shared" si="10"/>
        <v>0</v>
      </c>
      <c r="N115" s="124">
        <f t="shared" si="10"/>
        <v>160000</v>
      </c>
      <c r="O115" s="31">
        <v>0</v>
      </c>
      <c r="P115" s="123">
        <v>0</v>
      </c>
    </row>
    <row r="116" spans="1:16" ht="27.75" customHeight="1" thickBot="1">
      <c r="A116" s="29" t="s">
        <v>117</v>
      </c>
      <c r="B116" s="359" t="s">
        <v>118</v>
      </c>
      <c r="C116" s="360"/>
      <c r="D116" s="361"/>
      <c r="E116" s="108"/>
      <c r="F116" s="108"/>
      <c r="G116" s="13"/>
      <c r="H116" s="13"/>
      <c r="I116" s="13"/>
      <c r="J116" s="13"/>
      <c r="K116" s="84">
        <f t="shared" si="11"/>
        <v>0</v>
      </c>
      <c r="L116" s="15">
        <f>0+K116</f>
        <v>0</v>
      </c>
      <c r="M116" s="119">
        <f t="shared" si="10"/>
        <v>0</v>
      </c>
      <c r="N116" s="124">
        <f t="shared" si="10"/>
        <v>0</v>
      </c>
      <c r="O116" s="31">
        <v>0</v>
      </c>
      <c r="P116" s="123">
        <v>0</v>
      </c>
    </row>
    <row r="117" spans="1:16" ht="30" customHeight="1" thickBot="1">
      <c r="A117" s="29"/>
      <c r="B117" s="359" t="s">
        <v>119</v>
      </c>
      <c r="C117" s="360"/>
      <c r="D117" s="361"/>
      <c r="E117" s="108"/>
      <c r="F117" s="108"/>
      <c r="G117" s="13"/>
      <c r="H117" s="13"/>
      <c r="I117" s="13"/>
      <c r="J117" s="13"/>
      <c r="K117" s="84">
        <f>I117</f>
        <v>0</v>
      </c>
      <c r="L117" s="15">
        <f>3149+K117</f>
        <v>3149</v>
      </c>
      <c r="M117" s="119">
        <f t="shared" si="10"/>
        <v>0</v>
      </c>
      <c r="N117" s="124">
        <f t="shared" si="10"/>
        <v>-3149</v>
      </c>
      <c r="O117" s="31">
        <v>0</v>
      </c>
      <c r="P117" s="123">
        <v>0</v>
      </c>
    </row>
    <row r="118" spans="1:16" ht="31.5" customHeight="1" thickBot="1">
      <c r="A118" s="29" t="s">
        <v>120</v>
      </c>
      <c r="B118" s="359" t="s">
        <v>121</v>
      </c>
      <c r="C118" s="360"/>
      <c r="D118" s="361"/>
      <c r="E118" s="108"/>
      <c r="F118" s="108"/>
      <c r="G118" s="13">
        <v>104.67</v>
      </c>
      <c r="H118" s="13"/>
      <c r="I118" s="13"/>
      <c r="J118" s="13"/>
      <c r="K118" s="84">
        <f>G118</f>
        <v>104.67</v>
      </c>
      <c r="L118" s="15">
        <f>2048.01+K118</f>
        <v>2152.6800000000003</v>
      </c>
      <c r="M118" s="119">
        <f t="shared" si="10"/>
        <v>-104.67</v>
      </c>
      <c r="N118" s="124">
        <f t="shared" si="10"/>
        <v>-2152.6800000000003</v>
      </c>
      <c r="O118" s="31">
        <v>0</v>
      </c>
      <c r="P118" s="123">
        <v>0</v>
      </c>
    </row>
    <row r="119" spans="1:18" ht="30" customHeight="1" thickBot="1">
      <c r="A119" s="29" t="s">
        <v>211</v>
      </c>
      <c r="B119" s="381" t="s">
        <v>122</v>
      </c>
      <c r="C119" s="382"/>
      <c r="D119" s="383"/>
      <c r="E119" s="108"/>
      <c r="F119" s="108">
        <f>36000+E119</f>
        <v>36000</v>
      </c>
      <c r="G119" s="13">
        <v>9475.38</v>
      </c>
      <c r="H119" s="13"/>
      <c r="I119" s="13"/>
      <c r="J119" s="13"/>
      <c r="K119" s="84">
        <f>G119</f>
        <v>9475.38</v>
      </c>
      <c r="L119" s="15">
        <f>58252.38+K119</f>
        <v>67727.76</v>
      </c>
      <c r="M119" s="119">
        <f t="shared" si="10"/>
        <v>-9475.38</v>
      </c>
      <c r="N119" s="124">
        <f t="shared" si="10"/>
        <v>-31727.759999999995</v>
      </c>
      <c r="O119" s="31">
        <v>0</v>
      </c>
      <c r="P119" s="123">
        <v>0</v>
      </c>
      <c r="R119" s="201">
        <f>F131+F129+F128+F119+F115+F114+F113+F107+F106</f>
        <v>747855</v>
      </c>
    </row>
    <row r="120" spans="1:16" ht="19.5" customHeight="1" thickBot="1">
      <c r="A120" s="34" t="s">
        <v>123</v>
      </c>
      <c r="B120" s="359" t="s">
        <v>124</v>
      </c>
      <c r="C120" s="360"/>
      <c r="D120" s="361"/>
      <c r="E120" s="108"/>
      <c r="F120" s="108"/>
      <c r="G120" s="13">
        <v>900</v>
      </c>
      <c r="H120" s="13"/>
      <c r="I120" s="13"/>
      <c r="J120" s="13"/>
      <c r="K120" s="84">
        <f t="shared" si="11"/>
        <v>900</v>
      </c>
      <c r="L120" s="15">
        <f>0+K120</f>
        <v>900</v>
      </c>
      <c r="M120" s="119">
        <f t="shared" si="10"/>
        <v>-900</v>
      </c>
      <c r="N120" s="124">
        <f t="shared" si="10"/>
        <v>-900</v>
      </c>
      <c r="O120" s="31">
        <v>0</v>
      </c>
      <c r="P120" s="123">
        <v>0</v>
      </c>
    </row>
    <row r="121" spans="1:16" ht="15">
      <c r="A121" s="202"/>
      <c r="B121" s="576" t="s">
        <v>30</v>
      </c>
      <c r="C121" s="576"/>
      <c r="D121" s="576"/>
      <c r="E121" s="576"/>
      <c r="F121" s="576"/>
      <c r="G121" s="576"/>
      <c r="H121" s="576"/>
      <c r="I121" s="576"/>
      <c r="J121" s="576"/>
      <c r="K121" s="576"/>
      <c r="L121" s="576"/>
      <c r="M121" s="576"/>
      <c r="N121" s="576"/>
      <c r="O121" s="576"/>
      <c r="P121" s="577"/>
    </row>
    <row r="122" spans="1:16" ht="4.5" customHeight="1" thickBot="1">
      <c r="A122" s="203"/>
      <c r="B122" s="579"/>
      <c r="C122" s="579"/>
      <c r="D122" s="579"/>
      <c r="E122" s="579"/>
      <c r="F122" s="579"/>
      <c r="G122" s="579"/>
      <c r="H122" s="579"/>
      <c r="I122" s="579"/>
      <c r="J122" s="579"/>
      <c r="K122" s="579"/>
      <c r="L122" s="579"/>
      <c r="M122" s="579"/>
      <c r="N122" s="579"/>
      <c r="O122" s="579"/>
      <c r="P122" s="580"/>
    </row>
    <row r="123" spans="1:16" ht="15.75" thickBot="1">
      <c r="A123" s="204"/>
      <c r="B123" s="599" t="s">
        <v>14</v>
      </c>
      <c r="C123" s="600"/>
      <c r="D123" s="601"/>
      <c r="E123" s="605" t="s">
        <v>24</v>
      </c>
      <c r="F123" s="607" t="s">
        <v>25</v>
      </c>
      <c r="G123" s="609" t="s">
        <v>31</v>
      </c>
      <c r="H123" s="610"/>
      <c r="I123" s="610"/>
      <c r="J123" s="610"/>
      <c r="K123" s="611"/>
      <c r="L123" s="597" t="s">
        <v>16</v>
      </c>
      <c r="M123" s="597" t="s">
        <v>17</v>
      </c>
      <c r="N123" s="597" t="s">
        <v>18</v>
      </c>
      <c r="O123" s="597" t="s">
        <v>19</v>
      </c>
      <c r="P123" s="597" t="s">
        <v>20</v>
      </c>
    </row>
    <row r="124" spans="1:16" ht="72.75" customHeight="1" thickBot="1">
      <c r="A124" s="312"/>
      <c r="B124" s="602"/>
      <c r="C124" s="603"/>
      <c r="D124" s="604"/>
      <c r="E124" s="606"/>
      <c r="F124" s="608"/>
      <c r="G124" s="205" t="s">
        <v>32</v>
      </c>
      <c r="H124" s="205" t="s">
        <v>33</v>
      </c>
      <c r="I124" s="205" t="s">
        <v>34</v>
      </c>
      <c r="J124" s="206" t="s">
        <v>220</v>
      </c>
      <c r="K124" s="207" t="s">
        <v>27</v>
      </c>
      <c r="L124" s="598"/>
      <c r="M124" s="598"/>
      <c r="N124" s="598"/>
      <c r="O124" s="598"/>
      <c r="P124" s="598"/>
    </row>
    <row r="125" spans="1:16" ht="15.75" thickBot="1">
      <c r="A125" s="38"/>
      <c r="B125" s="536">
        <v>1</v>
      </c>
      <c r="C125" s="537"/>
      <c r="D125" s="538"/>
      <c r="E125" s="180" t="s">
        <v>22</v>
      </c>
      <c r="F125" s="316">
        <v>3</v>
      </c>
      <c r="G125" s="316">
        <v>4</v>
      </c>
      <c r="H125" s="316">
        <v>5</v>
      </c>
      <c r="I125" s="175">
        <v>6</v>
      </c>
      <c r="J125" s="175">
        <v>7</v>
      </c>
      <c r="K125" s="192">
        <v>8</v>
      </c>
      <c r="L125" s="320">
        <v>9</v>
      </c>
      <c r="M125" s="175">
        <v>10</v>
      </c>
      <c r="N125" s="320">
        <v>11</v>
      </c>
      <c r="O125" s="175">
        <v>12</v>
      </c>
      <c r="P125" s="320">
        <v>13</v>
      </c>
    </row>
    <row r="126" spans="1:16" ht="17.25" customHeight="1" thickBot="1">
      <c r="A126" s="115" t="s">
        <v>125</v>
      </c>
      <c r="B126" s="514" t="s">
        <v>126</v>
      </c>
      <c r="C126" s="515"/>
      <c r="D126" s="516"/>
      <c r="E126" s="108"/>
      <c r="F126" s="108"/>
      <c r="G126" s="13"/>
      <c r="H126" s="13"/>
      <c r="I126" s="13"/>
      <c r="J126" s="13"/>
      <c r="K126" s="84">
        <f aca="true" t="shared" si="12" ref="K126:K140">G126</f>
        <v>0</v>
      </c>
      <c r="L126" s="15">
        <f>0+K126</f>
        <v>0</v>
      </c>
      <c r="M126" s="119">
        <f aca="true" t="shared" si="13" ref="M126:N141">E126-K126</f>
        <v>0</v>
      </c>
      <c r="N126" s="124">
        <f t="shared" si="13"/>
        <v>0</v>
      </c>
      <c r="O126" s="31">
        <v>0</v>
      </c>
      <c r="P126" s="123">
        <v>0</v>
      </c>
    </row>
    <row r="127" spans="1:16" ht="27.75" thickBot="1">
      <c r="A127" s="116" t="s">
        <v>127</v>
      </c>
      <c r="B127" s="427" t="s">
        <v>128</v>
      </c>
      <c r="C127" s="428"/>
      <c r="D127" s="429"/>
      <c r="E127" s="108"/>
      <c r="F127" s="108"/>
      <c r="G127" s="13"/>
      <c r="H127" s="13"/>
      <c r="I127" s="13"/>
      <c r="J127" s="13"/>
      <c r="K127" s="84">
        <f t="shared" si="12"/>
        <v>0</v>
      </c>
      <c r="L127" s="15">
        <f>0+K127</f>
        <v>0</v>
      </c>
      <c r="M127" s="119">
        <f t="shared" si="13"/>
        <v>0</v>
      </c>
      <c r="N127" s="124">
        <f t="shared" si="13"/>
        <v>0</v>
      </c>
      <c r="O127" s="31">
        <v>0</v>
      </c>
      <c r="P127" s="123">
        <v>0</v>
      </c>
    </row>
    <row r="128" spans="1:16" ht="30.75" thickBot="1">
      <c r="A128" s="39" t="s">
        <v>129</v>
      </c>
      <c r="B128" s="359" t="s">
        <v>130</v>
      </c>
      <c r="C128" s="360"/>
      <c r="D128" s="361"/>
      <c r="E128" s="108"/>
      <c r="F128" s="108">
        <f>300000+E128</f>
        <v>300000</v>
      </c>
      <c r="G128" s="13">
        <v>326.5</v>
      </c>
      <c r="H128" s="13"/>
      <c r="I128" s="13"/>
      <c r="J128" s="13"/>
      <c r="K128" s="84">
        <f>I128+G128</f>
        <v>326.5</v>
      </c>
      <c r="L128" s="15">
        <f>293195.39+K128</f>
        <v>293521.89</v>
      </c>
      <c r="M128" s="119">
        <f t="shared" si="13"/>
        <v>-326.5</v>
      </c>
      <c r="N128" s="124">
        <f t="shared" si="13"/>
        <v>6478.109999999986</v>
      </c>
      <c r="O128" s="31">
        <v>0</v>
      </c>
      <c r="P128" s="123">
        <v>0</v>
      </c>
    </row>
    <row r="129" spans="1:16" ht="44.25" customHeight="1" thickBot="1">
      <c r="A129" s="39" t="s">
        <v>131</v>
      </c>
      <c r="B129" s="387" t="s">
        <v>222</v>
      </c>
      <c r="C129" s="388"/>
      <c r="D129" s="389"/>
      <c r="E129" s="108">
        <v>12751</v>
      </c>
      <c r="F129" s="108">
        <f>127504+E129</f>
        <v>140255</v>
      </c>
      <c r="G129" s="13"/>
      <c r="H129" s="13"/>
      <c r="I129" s="13"/>
      <c r="J129" s="13"/>
      <c r="K129" s="84">
        <f>H129</f>
        <v>0</v>
      </c>
      <c r="L129" s="15">
        <f>153006+K129</f>
        <v>153006</v>
      </c>
      <c r="M129" s="119">
        <f t="shared" si="13"/>
        <v>12751</v>
      </c>
      <c r="N129" s="124">
        <f t="shared" si="13"/>
        <v>-12751</v>
      </c>
      <c r="O129" s="31">
        <v>0</v>
      </c>
      <c r="P129" s="123">
        <v>0</v>
      </c>
    </row>
    <row r="130" spans="1:16" ht="35.25" customHeight="1" thickBot="1">
      <c r="A130" s="73" t="s">
        <v>133</v>
      </c>
      <c r="B130" s="359" t="s">
        <v>134</v>
      </c>
      <c r="C130" s="360"/>
      <c r="D130" s="361"/>
      <c r="E130" s="108"/>
      <c r="F130" s="108"/>
      <c r="G130" s="13">
        <v>35530</v>
      </c>
      <c r="H130" s="13"/>
      <c r="I130" s="13"/>
      <c r="J130" s="13"/>
      <c r="K130" s="84">
        <f>G130</f>
        <v>35530</v>
      </c>
      <c r="L130" s="15">
        <f>20000+K130</f>
        <v>55530</v>
      </c>
      <c r="M130" s="119">
        <f t="shared" si="13"/>
        <v>-35530</v>
      </c>
      <c r="N130" s="124">
        <f t="shared" si="13"/>
        <v>-55530</v>
      </c>
      <c r="O130" s="31">
        <v>0</v>
      </c>
      <c r="P130" s="123">
        <v>0</v>
      </c>
    </row>
    <row r="131" spans="1:16" ht="35.25" customHeight="1" thickBot="1">
      <c r="A131" s="73" t="s">
        <v>135</v>
      </c>
      <c r="B131" s="511" t="s">
        <v>136</v>
      </c>
      <c r="C131" s="512"/>
      <c r="D131" s="513"/>
      <c r="E131" s="108"/>
      <c r="F131" s="108">
        <f>6000+E131</f>
        <v>6000</v>
      </c>
      <c r="G131" s="13"/>
      <c r="H131" s="13"/>
      <c r="I131" s="13"/>
      <c r="J131" s="13"/>
      <c r="K131" s="84">
        <f>G131+I131</f>
        <v>0</v>
      </c>
      <c r="L131" s="15">
        <f>15051.19+K131</f>
        <v>15051.19</v>
      </c>
      <c r="M131" s="119">
        <f t="shared" si="13"/>
        <v>0</v>
      </c>
      <c r="N131" s="124">
        <f t="shared" si="13"/>
        <v>-9051.19</v>
      </c>
      <c r="O131" s="31">
        <v>0</v>
      </c>
      <c r="P131" s="123">
        <v>0</v>
      </c>
    </row>
    <row r="132" spans="1:19" ht="36.75" customHeight="1" thickBot="1">
      <c r="A132" s="40">
        <v>15</v>
      </c>
      <c r="B132" s="338" t="s">
        <v>137</v>
      </c>
      <c r="C132" s="338"/>
      <c r="D132" s="339"/>
      <c r="E132" s="108">
        <v>0</v>
      </c>
      <c r="F132" s="114">
        <f>F133</f>
        <v>0</v>
      </c>
      <c r="G132" s="32">
        <f>G133+G134</f>
        <v>0</v>
      </c>
      <c r="H132" s="13"/>
      <c r="I132" s="13"/>
      <c r="J132" s="13"/>
      <c r="K132" s="83">
        <f t="shared" si="12"/>
        <v>0</v>
      </c>
      <c r="L132" s="23">
        <f>L133+L134</f>
        <v>244030.07</v>
      </c>
      <c r="M132" s="120">
        <f t="shared" si="13"/>
        <v>0</v>
      </c>
      <c r="N132" s="125">
        <f t="shared" si="13"/>
        <v>-244030.07</v>
      </c>
      <c r="O132" s="26">
        <v>0</v>
      </c>
      <c r="P132" s="27">
        <v>0</v>
      </c>
      <c r="Q132" s="173"/>
      <c r="R132" s="173"/>
      <c r="S132" s="173"/>
    </row>
    <row r="133" spans="1:19" ht="29.25" customHeight="1" thickBot="1">
      <c r="A133" s="29" t="s">
        <v>187</v>
      </c>
      <c r="B133" s="340" t="s">
        <v>152</v>
      </c>
      <c r="C133" s="341"/>
      <c r="D133" s="342"/>
      <c r="E133" s="112"/>
      <c r="F133" s="108">
        <v>0</v>
      </c>
      <c r="G133" s="13"/>
      <c r="H133" s="13"/>
      <c r="I133" s="13"/>
      <c r="J133" s="13"/>
      <c r="K133" s="84">
        <f t="shared" si="12"/>
        <v>0</v>
      </c>
      <c r="L133" s="15">
        <f>244030.07+K133</f>
        <v>244030.07</v>
      </c>
      <c r="M133" s="119">
        <f t="shared" si="13"/>
        <v>0</v>
      </c>
      <c r="N133" s="124">
        <f t="shared" si="13"/>
        <v>-244030.07</v>
      </c>
      <c r="O133" s="31">
        <v>0</v>
      </c>
      <c r="P133" s="123">
        <v>0</v>
      </c>
      <c r="Q133" s="173"/>
      <c r="R133" s="173"/>
      <c r="S133" s="173"/>
    </row>
    <row r="134" spans="1:19" ht="32.25" customHeight="1" thickBot="1">
      <c r="A134" s="29" t="s">
        <v>188</v>
      </c>
      <c r="B134" s="340" t="s">
        <v>171</v>
      </c>
      <c r="C134" s="341"/>
      <c r="D134" s="342"/>
      <c r="E134" s="112"/>
      <c r="F134" s="108"/>
      <c r="G134" s="13"/>
      <c r="H134" s="13"/>
      <c r="I134" s="13"/>
      <c r="J134" s="13"/>
      <c r="K134" s="84">
        <f t="shared" si="12"/>
        <v>0</v>
      </c>
      <c r="L134" s="15">
        <f>0+K134</f>
        <v>0</v>
      </c>
      <c r="M134" s="119">
        <f t="shared" si="13"/>
        <v>0</v>
      </c>
      <c r="N134" s="124">
        <f t="shared" si="13"/>
        <v>0</v>
      </c>
      <c r="O134" s="31">
        <v>0</v>
      </c>
      <c r="P134" s="123">
        <v>0</v>
      </c>
      <c r="Q134" s="173"/>
      <c r="R134" s="173"/>
      <c r="S134" s="173"/>
    </row>
    <row r="135" spans="1:19" ht="31.5" customHeight="1" thickBot="1">
      <c r="A135" s="41">
        <v>16</v>
      </c>
      <c r="B135" s="338" t="s">
        <v>138</v>
      </c>
      <c r="C135" s="338"/>
      <c r="D135" s="339"/>
      <c r="E135" s="108">
        <v>0</v>
      </c>
      <c r="F135" s="114">
        <f>F136</f>
        <v>0</v>
      </c>
      <c r="G135" s="32">
        <f>G136+G137</f>
        <v>0</v>
      </c>
      <c r="H135" s="13"/>
      <c r="I135" s="13"/>
      <c r="J135" s="13"/>
      <c r="K135" s="83">
        <f t="shared" si="12"/>
        <v>0</v>
      </c>
      <c r="L135" s="23">
        <f>1439790.82+K135</f>
        <v>1439790.82</v>
      </c>
      <c r="M135" s="120">
        <f t="shared" si="13"/>
        <v>0</v>
      </c>
      <c r="N135" s="125">
        <f t="shared" si="13"/>
        <v>-1439790.82</v>
      </c>
      <c r="O135" s="26">
        <v>0</v>
      </c>
      <c r="P135" s="27">
        <v>0</v>
      </c>
      <c r="Q135" s="173"/>
      <c r="R135" s="173"/>
      <c r="S135" s="173"/>
    </row>
    <row r="136" spans="1:19" ht="34.5" customHeight="1" thickBot="1">
      <c r="A136" s="29" t="s">
        <v>189</v>
      </c>
      <c r="B136" s="340" t="s">
        <v>152</v>
      </c>
      <c r="C136" s="341"/>
      <c r="D136" s="342"/>
      <c r="E136" s="112"/>
      <c r="F136" s="108">
        <v>0</v>
      </c>
      <c r="G136" s="13"/>
      <c r="H136" s="13"/>
      <c r="I136" s="13"/>
      <c r="J136" s="13"/>
      <c r="K136" s="84">
        <f t="shared" si="12"/>
        <v>0</v>
      </c>
      <c r="L136" s="15">
        <f>1439790.82+K136</f>
        <v>1439790.82</v>
      </c>
      <c r="M136" s="119">
        <f t="shared" si="13"/>
        <v>0</v>
      </c>
      <c r="N136" s="124">
        <f t="shared" si="13"/>
        <v>-1439790.82</v>
      </c>
      <c r="O136" s="31">
        <v>0</v>
      </c>
      <c r="P136" s="123">
        <v>0</v>
      </c>
      <c r="Q136" s="173"/>
      <c r="R136" s="173"/>
      <c r="S136" s="173"/>
    </row>
    <row r="137" spans="1:19" ht="35.25" customHeight="1" thickBot="1">
      <c r="A137" s="29" t="s">
        <v>190</v>
      </c>
      <c r="B137" s="340" t="s">
        <v>171</v>
      </c>
      <c r="C137" s="341"/>
      <c r="D137" s="342"/>
      <c r="E137" s="112"/>
      <c r="F137" s="108"/>
      <c r="G137" s="13"/>
      <c r="H137" s="13"/>
      <c r="I137" s="13"/>
      <c r="J137" s="13"/>
      <c r="K137" s="84">
        <f t="shared" si="12"/>
        <v>0</v>
      </c>
      <c r="L137" s="15">
        <f>0+K137</f>
        <v>0</v>
      </c>
      <c r="M137" s="119">
        <f t="shared" si="13"/>
        <v>0</v>
      </c>
      <c r="N137" s="124">
        <f t="shared" si="13"/>
        <v>0</v>
      </c>
      <c r="O137" s="31">
        <v>0</v>
      </c>
      <c r="P137" s="123">
        <v>0</v>
      </c>
      <c r="Q137" s="173"/>
      <c r="R137" s="173"/>
      <c r="S137" s="173"/>
    </row>
    <row r="138" spans="1:19" ht="47.25" customHeight="1" thickBot="1">
      <c r="A138" s="40">
        <v>17</v>
      </c>
      <c r="B138" s="338" t="s">
        <v>139</v>
      </c>
      <c r="C138" s="338"/>
      <c r="D138" s="339"/>
      <c r="E138" s="114">
        <v>0</v>
      </c>
      <c r="F138" s="114"/>
      <c r="G138" s="32">
        <f>G139+G140</f>
        <v>24000</v>
      </c>
      <c r="H138" s="32"/>
      <c r="I138" s="32"/>
      <c r="J138" s="32"/>
      <c r="K138" s="83">
        <f t="shared" si="12"/>
        <v>24000</v>
      </c>
      <c r="L138" s="23">
        <f>L139</f>
        <v>110350</v>
      </c>
      <c r="M138" s="120">
        <f t="shared" si="13"/>
        <v>-24000</v>
      </c>
      <c r="N138" s="125">
        <f t="shared" si="13"/>
        <v>-110350</v>
      </c>
      <c r="O138" s="26">
        <v>0</v>
      </c>
      <c r="P138" s="27">
        <v>0</v>
      </c>
      <c r="Q138" s="173"/>
      <c r="R138" s="173"/>
      <c r="S138" s="173"/>
    </row>
    <row r="139" spans="1:19" ht="27" customHeight="1" thickBot="1">
      <c r="A139" s="29" t="s">
        <v>191</v>
      </c>
      <c r="B139" s="340" t="s">
        <v>152</v>
      </c>
      <c r="C139" s="341"/>
      <c r="D139" s="342"/>
      <c r="E139" s="112"/>
      <c r="F139" s="108"/>
      <c r="G139" s="13">
        <v>24000</v>
      </c>
      <c r="H139" s="13"/>
      <c r="I139" s="13"/>
      <c r="J139" s="13"/>
      <c r="K139" s="84">
        <f t="shared" si="12"/>
        <v>24000</v>
      </c>
      <c r="L139" s="15">
        <f>86350+K139</f>
        <v>110350</v>
      </c>
      <c r="M139" s="119">
        <f t="shared" si="13"/>
        <v>-24000</v>
      </c>
      <c r="N139" s="124">
        <f t="shared" si="13"/>
        <v>-110350</v>
      </c>
      <c r="O139" s="31">
        <v>0</v>
      </c>
      <c r="P139" s="123">
        <v>0</v>
      </c>
      <c r="Q139" s="173"/>
      <c r="R139" s="173"/>
      <c r="S139" s="173"/>
    </row>
    <row r="140" spans="1:19" ht="29.25" customHeight="1" thickBot="1">
      <c r="A140" s="29" t="s">
        <v>192</v>
      </c>
      <c r="B140" s="340" t="s">
        <v>171</v>
      </c>
      <c r="C140" s="341"/>
      <c r="D140" s="342"/>
      <c r="E140" s="112"/>
      <c r="F140" s="108"/>
      <c r="G140" s="13"/>
      <c r="H140" s="13"/>
      <c r="I140" s="13"/>
      <c r="J140" s="13"/>
      <c r="K140" s="84">
        <f t="shared" si="12"/>
        <v>0</v>
      </c>
      <c r="L140" s="15">
        <f>0+K140</f>
        <v>0</v>
      </c>
      <c r="M140" s="119">
        <f t="shared" si="13"/>
        <v>0</v>
      </c>
      <c r="N140" s="124">
        <f t="shared" si="13"/>
        <v>0</v>
      </c>
      <c r="O140" s="31">
        <v>0</v>
      </c>
      <c r="P140" s="123">
        <v>0</v>
      </c>
      <c r="Q140" s="173"/>
      <c r="R140" s="173"/>
      <c r="S140" s="173"/>
    </row>
    <row r="141" spans="1:19" ht="22.5" customHeight="1" thickBot="1">
      <c r="A141" s="40">
        <v>18</v>
      </c>
      <c r="B141" s="323" t="s">
        <v>140</v>
      </c>
      <c r="C141" s="323"/>
      <c r="D141" s="324"/>
      <c r="E141" s="108">
        <v>0</v>
      </c>
      <c r="F141" s="108"/>
      <c r="G141" s="13"/>
      <c r="H141" s="13"/>
      <c r="I141" s="13"/>
      <c r="J141" s="32">
        <v>348024.43</v>
      </c>
      <c r="K141" s="83">
        <f>J141</f>
        <v>348024.43</v>
      </c>
      <c r="L141" s="23">
        <f>1186754.54+K141</f>
        <v>1534778.97</v>
      </c>
      <c r="M141" s="120">
        <f t="shared" si="13"/>
        <v>-348024.43</v>
      </c>
      <c r="N141" s="125">
        <f t="shared" si="13"/>
        <v>-1534778.97</v>
      </c>
      <c r="O141" s="26">
        <v>0</v>
      </c>
      <c r="P141" s="27">
        <v>0</v>
      </c>
      <c r="Q141" s="173"/>
      <c r="R141" s="173"/>
      <c r="S141" s="173"/>
    </row>
    <row r="142" spans="1:19" ht="50.25" customHeight="1" thickBot="1">
      <c r="A142" s="43"/>
      <c r="B142" s="328" t="s">
        <v>141</v>
      </c>
      <c r="C142" s="328"/>
      <c r="D142" s="328"/>
      <c r="E142" s="328"/>
      <c r="F142" s="208"/>
      <c r="G142" s="208" t="s">
        <v>4</v>
      </c>
      <c r="H142" s="318" t="s">
        <v>5</v>
      </c>
      <c r="I142" s="532" t="s">
        <v>6</v>
      </c>
      <c r="J142" s="533"/>
      <c r="K142" s="176" t="s">
        <v>11</v>
      </c>
      <c r="L142" s="175" t="s">
        <v>8</v>
      </c>
      <c r="M142" s="175" t="s">
        <v>9</v>
      </c>
      <c r="N142" s="210" t="s">
        <v>10</v>
      </c>
      <c r="O142" s="211"/>
      <c r="P142" s="319"/>
      <c r="Q142" s="173"/>
      <c r="R142" s="173"/>
      <c r="S142" s="173"/>
    </row>
    <row r="143" spans="1:19" ht="23.25" customHeight="1" thickBot="1">
      <c r="A143" s="42"/>
      <c r="B143" s="328" t="s">
        <v>12</v>
      </c>
      <c r="C143" s="328"/>
      <c r="D143" s="328"/>
      <c r="E143" s="329"/>
      <c r="F143" s="47"/>
      <c r="G143" s="47">
        <v>0</v>
      </c>
      <c r="H143" s="3">
        <v>0</v>
      </c>
      <c r="I143" s="330">
        <v>0</v>
      </c>
      <c r="J143" s="331"/>
      <c r="K143" s="86"/>
      <c r="L143" s="3">
        <v>0</v>
      </c>
      <c r="M143" s="308">
        <v>0</v>
      </c>
      <c r="N143" s="308">
        <v>0</v>
      </c>
      <c r="O143" s="3"/>
      <c r="P143" s="3">
        <v>0</v>
      </c>
      <c r="Q143" s="173"/>
      <c r="R143" s="173"/>
      <c r="S143" s="173"/>
    </row>
    <row r="144" spans="1:19" ht="27" customHeight="1" thickBot="1">
      <c r="A144" s="43"/>
      <c r="B144" s="328" t="s">
        <v>13</v>
      </c>
      <c r="C144" s="328"/>
      <c r="D144" s="328"/>
      <c r="E144" s="329"/>
      <c r="F144" s="3"/>
      <c r="G144" s="3">
        <f>F10+G17-G32-G36-G40-G45-G55-G65-G68-G72-G75-G79-G89-G102-G133-G136-G139-G81</f>
        <v>-231105.85</v>
      </c>
      <c r="H144" s="3">
        <f>G18+H10-H29</f>
        <v>0</v>
      </c>
      <c r="I144" s="330">
        <f>I10+G19-I104-I66-I97-I76</f>
        <v>0</v>
      </c>
      <c r="J144" s="331"/>
      <c r="K144" s="86">
        <f>O10+G22-J54</f>
        <v>31247.089999999997</v>
      </c>
      <c r="L144" s="3">
        <f>L10+G23-J141</f>
        <v>209239.00000000006</v>
      </c>
      <c r="M144" s="308">
        <v>0</v>
      </c>
      <c r="N144" s="3">
        <v>0</v>
      </c>
      <c r="O144" s="48"/>
      <c r="P144" s="3">
        <f>SUM(G144:O144)</f>
        <v>9380.240000000049</v>
      </c>
      <c r="Q144" s="173"/>
      <c r="R144" s="196">
        <f>P5+L16-L29</f>
        <v>9380.230000004172</v>
      </c>
      <c r="S144" s="18"/>
    </row>
    <row r="145" spans="1:19" ht="24.75" customHeight="1" thickBot="1">
      <c r="A145" s="49"/>
      <c r="B145" s="524" t="s">
        <v>255</v>
      </c>
      <c r="C145" s="524"/>
      <c r="D145" s="524"/>
      <c r="E145" s="525"/>
      <c r="F145" s="346"/>
      <c r="G145" s="346"/>
      <c r="H145" s="346"/>
      <c r="I145" s="346"/>
      <c r="J145" s="346"/>
      <c r="K145" s="346"/>
      <c r="L145" s="346"/>
      <c r="M145" s="346"/>
      <c r="N145" s="347"/>
      <c r="O145" s="348"/>
      <c r="P145" s="50">
        <f>P144</f>
        <v>9380.240000000049</v>
      </c>
      <c r="Q145" s="173"/>
      <c r="R145" s="18"/>
      <c r="S145" s="18"/>
    </row>
    <row r="146" spans="1:19" ht="15">
      <c r="A146" s="173"/>
      <c r="B146" s="213"/>
      <c r="C146" s="213"/>
      <c r="D146" s="213"/>
      <c r="E146" s="213"/>
      <c r="F146" s="52"/>
      <c r="G146" s="52"/>
      <c r="H146" s="52"/>
      <c r="I146" s="52"/>
      <c r="J146" s="52"/>
      <c r="K146" s="87"/>
      <c r="L146" s="52"/>
      <c r="M146" s="52"/>
      <c r="N146" s="52"/>
      <c r="O146" s="53"/>
      <c r="P146" s="54"/>
      <c r="Q146" s="173"/>
      <c r="R146" s="18"/>
      <c r="S146" s="173"/>
    </row>
    <row r="147" spans="1:19" ht="15">
      <c r="A147" s="173"/>
      <c r="B147" s="343" t="s">
        <v>142</v>
      </c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9" t="s">
        <v>143</v>
      </c>
      <c r="P147" s="349"/>
      <c r="Q147" s="173"/>
      <c r="R147" s="196"/>
      <c r="S147" s="18"/>
    </row>
    <row r="148" spans="1:19" ht="15">
      <c r="A148" s="173"/>
      <c r="B148" s="343" t="s">
        <v>144</v>
      </c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 t="s">
        <v>145</v>
      </c>
      <c r="P148" s="343"/>
      <c r="Q148" s="173"/>
      <c r="R148" s="173"/>
      <c r="S148" s="173"/>
    </row>
    <row r="149" spans="1:19" ht="15">
      <c r="A149" s="173"/>
      <c r="B149" s="310"/>
      <c r="C149" s="310"/>
      <c r="D149" s="310"/>
      <c r="E149" s="310"/>
      <c r="F149" s="310"/>
      <c r="G149" s="310"/>
      <c r="H149" s="310"/>
      <c r="I149" s="310"/>
      <c r="J149" s="55"/>
      <c r="K149" s="88"/>
      <c r="L149" s="55"/>
      <c r="M149" s="310"/>
      <c r="N149" s="310"/>
      <c r="O149" s="310"/>
      <c r="P149" s="55"/>
      <c r="Q149" s="173"/>
      <c r="R149" s="18"/>
      <c r="S149" s="173"/>
    </row>
    <row r="151" spans="1:19" ht="15">
      <c r="A151" s="173"/>
      <c r="B151" s="173"/>
      <c r="C151" s="173"/>
      <c r="D151" s="173"/>
      <c r="E151" s="173"/>
      <c r="F151" s="173"/>
      <c r="G151" s="173"/>
      <c r="H151" s="173"/>
      <c r="I151" s="250"/>
      <c r="J151" s="173"/>
      <c r="K151" s="173"/>
      <c r="L151" s="173"/>
      <c r="M151" s="173"/>
      <c r="N151" s="173"/>
      <c r="O151" s="173"/>
      <c r="P151" s="173"/>
      <c r="Q151" s="173"/>
      <c r="R151" s="18"/>
      <c r="S151" s="173"/>
    </row>
    <row r="152" spans="1:19" ht="15">
      <c r="A152" s="173"/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8"/>
      <c r="S152" s="173"/>
    </row>
    <row r="153" spans="1:19" ht="15">
      <c r="A153" s="173"/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8"/>
      <c r="O153" s="173"/>
      <c r="P153" s="173"/>
      <c r="Q153" s="173"/>
      <c r="R153" s="173"/>
      <c r="S153" s="173"/>
    </row>
    <row r="154" spans="12:16" ht="15">
      <c r="L154" s="173"/>
      <c r="M154" s="173"/>
      <c r="N154" s="18"/>
      <c r="O154" s="173"/>
      <c r="P154" s="18"/>
    </row>
    <row r="155" spans="12:16" ht="15">
      <c r="L155" s="173"/>
      <c r="M155" s="173"/>
      <c r="N155" s="214"/>
      <c r="O155" s="173"/>
      <c r="P155" s="18"/>
    </row>
    <row r="156" spans="12:16" ht="15">
      <c r="L156" s="18"/>
      <c r="M156" s="173"/>
      <c r="N156" s="173"/>
      <c r="O156" s="173"/>
      <c r="P156" s="173"/>
    </row>
    <row r="157" spans="12:16" ht="15">
      <c r="L157" s="18"/>
      <c r="M157" s="18"/>
      <c r="N157" s="173"/>
      <c r="O157" s="173"/>
      <c r="P157" s="173"/>
    </row>
  </sheetData>
  <sheetProtection/>
  <mergeCells count="200">
    <mergeCell ref="B1:P1"/>
    <mergeCell ref="B2:P2"/>
    <mergeCell ref="B3:P3"/>
    <mergeCell ref="B4:P4"/>
    <mergeCell ref="B5:E5"/>
    <mergeCell ref="F5:O5"/>
    <mergeCell ref="B9:E9"/>
    <mergeCell ref="F9:G9"/>
    <mergeCell ref="I9:J9"/>
    <mergeCell ref="B10:E10"/>
    <mergeCell ref="F10:G10"/>
    <mergeCell ref="I10:J10"/>
    <mergeCell ref="B6:E6"/>
    <mergeCell ref="F6:O6"/>
    <mergeCell ref="B7:E7"/>
    <mergeCell ref="F7:P7"/>
    <mergeCell ref="B8:E8"/>
    <mergeCell ref="F8:G8"/>
    <mergeCell ref="I8:J8"/>
    <mergeCell ref="P12:P13"/>
    <mergeCell ref="B14:D14"/>
    <mergeCell ref="G14:J14"/>
    <mergeCell ref="A15:A16"/>
    <mergeCell ref="B15:D16"/>
    <mergeCell ref="G15:J15"/>
    <mergeCell ref="G16:J16"/>
    <mergeCell ref="B11:E11"/>
    <mergeCell ref="F11:P11"/>
    <mergeCell ref="A12:A13"/>
    <mergeCell ref="B12:E13"/>
    <mergeCell ref="F12:F13"/>
    <mergeCell ref="G12:K13"/>
    <mergeCell ref="L12:L13"/>
    <mergeCell ref="M12:M13"/>
    <mergeCell ref="N12:N13"/>
    <mergeCell ref="O12:O13"/>
    <mergeCell ref="B20:D20"/>
    <mergeCell ref="G20:J20"/>
    <mergeCell ref="B21:D21"/>
    <mergeCell ref="G21:J21"/>
    <mergeCell ref="B22:D22"/>
    <mergeCell ref="G22:J22"/>
    <mergeCell ref="B17:D17"/>
    <mergeCell ref="G17:J17"/>
    <mergeCell ref="B18:D18"/>
    <mergeCell ref="G18:J18"/>
    <mergeCell ref="B19:D19"/>
    <mergeCell ref="G19:J19"/>
    <mergeCell ref="M26:M27"/>
    <mergeCell ref="N26:N27"/>
    <mergeCell ref="O26:O27"/>
    <mergeCell ref="P26:P27"/>
    <mergeCell ref="B28:D28"/>
    <mergeCell ref="B29:D29"/>
    <mergeCell ref="B23:D23"/>
    <mergeCell ref="G23:J23"/>
    <mergeCell ref="A24:A25"/>
    <mergeCell ref="B24:P25"/>
    <mergeCell ref="A26:A27"/>
    <mergeCell ref="B26:D27"/>
    <mergeCell ref="E26:E27"/>
    <mergeCell ref="F26:F27"/>
    <mergeCell ref="G26:K26"/>
    <mergeCell ref="L26:L27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49:D49"/>
    <mergeCell ref="B50:D50"/>
    <mergeCell ref="B51:D51"/>
    <mergeCell ref="B52:D52"/>
    <mergeCell ref="B54:D54"/>
    <mergeCell ref="B55:D55"/>
    <mergeCell ref="B42:D42"/>
    <mergeCell ref="B43:D43"/>
    <mergeCell ref="B44:D44"/>
    <mergeCell ref="B45:D45"/>
    <mergeCell ref="B46:D46"/>
    <mergeCell ref="B48:D48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74:D74"/>
    <mergeCell ref="B75:D75"/>
    <mergeCell ref="B76:D76"/>
    <mergeCell ref="B78:D78"/>
    <mergeCell ref="B79:D79"/>
    <mergeCell ref="B80:D80"/>
    <mergeCell ref="B68:D68"/>
    <mergeCell ref="B69:D69"/>
    <mergeCell ref="B70:D70"/>
    <mergeCell ref="B71:D71"/>
    <mergeCell ref="B72:D72"/>
    <mergeCell ref="B73:D73"/>
    <mergeCell ref="B81:D81"/>
    <mergeCell ref="A83:A84"/>
    <mergeCell ref="B83:P84"/>
    <mergeCell ref="A85:A86"/>
    <mergeCell ref="B85:D86"/>
    <mergeCell ref="E85:E86"/>
    <mergeCell ref="F85:F86"/>
    <mergeCell ref="G85:K85"/>
    <mergeCell ref="L85:L86"/>
    <mergeCell ref="M85:M86"/>
    <mergeCell ref="B90:D90"/>
    <mergeCell ref="B91:D91"/>
    <mergeCell ref="B92:D92"/>
    <mergeCell ref="B93:D93"/>
    <mergeCell ref="B94:D94"/>
    <mergeCell ref="B95:D95"/>
    <mergeCell ref="N85:N86"/>
    <mergeCell ref="O85:O86"/>
    <mergeCell ref="P85:P86"/>
    <mergeCell ref="B87:D87"/>
    <mergeCell ref="B88:D88"/>
    <mergeCell ref="B89:D89"/>
    <mergeCell ref="B102:D102"/>
    <mergeCell ref="B103:D103"/>
    <mergeCell ref="B104:D104"/>
    <mergeCell ref="B105:D105"/>
    <mergeCell ref="B106:D106"/>
    <mergeCell ref="B107:D107"/>
    <mergeCell ref="B96:D96"/>
    <mergeCell ref="B97:D97"/>
    <mergeCell ref="B98:D98"/>
    <mergeCell ref="B99:D99"/>
    <mergeCell ref="B100:D100"/>
    <mergeCell ref="B101:D101"/>
    <mergeCell ref="B114:D114"/>
    <mergeCell ref="B115:D115"/>
    <mergeCell ref="B116:D116"/>
    <mergeCell ref="B117:D117"/>
    <mergeCell ref="B118:D118"/>
    <mergeCell ref="B119:D119"/>
    <mergeCell ref="B108:D108"/>
    <mergeCell ref="B109:D109"/>
    <mergeCell ref="B110:D110"/>
    <mergeCell ref="B111:D111"/>
    <mergeCell ref="B112:D112"/>
    <mergeCell ref="B113:D113"/>
    <mergeCell ref="P123:P124"/>
    <mergeCell ref="B125:D125"/>
    <mergeCell ref="B126:D126"/>
    <mergeCell ref="B127:D127"/>
    <mergeCell ref="B128:D128"/>
    <mergeCell ref="B129:D129"/>
    <mergeCell ref="B120:D120"/>
    <mergeCell ref="B121:P122"/>
    <mergeCell ref="B123:D124"/>
    <mergeCell ref="E123:E124"/>
    <mergeCell ref="F123:F124"/>
    <mergeCell ref="G123:K123"/>
    <mergeCell ref="L123:L124"/>
    <mergeCell ref="M123:M124"/>
    <mergeCell ref="N123:N124"/>
    <mergeCell ref="O123:O124"/>
    <mergeCell ref="B136:D136"/>
    <mergeCell ref="B137:D137"/>
    <mergeCell ref="B138:D138"/>
    <mergeCell ref="B139:D139"/>
    <mergeCell ref="B140:D140"/>
    <mergeCell ref="B141:D141"/>
    <mergeCell ref="B130:D130"/>
    <mergeCell ref="B131:D131"/>
    <mergeCell ref="B132:D132"/>
    <mergeCell ref="B133:D133"/>
    <mergeCell ref="B134:D134"/>
    <mergeCell ref="B135:D135"/>
    <mergeCell ref="B145:E145"/>
    <mergeCell ref="F145:O145"/>
    <mergeCell ref="B147:E147"/>
    <mergeCell ref="F147:N147"/>
    <mergeCell ref="O147:P147"/>
    <mergeCell ref="B148:E148"/>
    <mergeCell ref="F148:N148"/>
    <mergeCell ref="O148:P148"/>
    <mergeCell ref="B142:E142"/>
    <mergeCell ref="I142:J142"/>
    <mergeCell ref="B143:E143"/>
    <mergeCell ref="I143:J143"/>
    <mergeCell ref="B144:E144"/>
    <mergeCell ref="I144:J144"/>
  </mergeCells>
  <printOptions/>
  <pageMargins left="0.11811023622047245" right="0.11811023622047245" top="0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8"/>
  <sheetViews>
    <sheetView zoomScalePageLayoutView="0" workbookViewId="0" topLeftCell="A88">
      <selection activeCell="B80" sqref="B80:D80"/>
    </sheetView>
  </sheetViews>
  <sheetFormatPr defaultColWidth="9.140625" defaultRowHeight="15"/>
  <cols>
    <col min="1" max="1" width="4.57421875" style="0" customWidth="1"/>
    <col min="4" max="4" width="13.28125" style="0" customWidth="1"/>
    <col min="5" max="5" width="12.7109375" style="0" customWidth="1"/>
    <col min="6" max="6" width="14.140625" style="0" customWidth="1"/>
    <col min="7" max="8" width="11.00390625" style="0" customWidth="1"/>
    <col min="9" max="9" width="10.140625" style="0" customWidth="1"/>
    <col min="10" max="10" width="11.140625" style="0" customWidth="1"/>
    <col min="11" max="11" width="12.7109375" style="0" customWidth="1"/>
    <col min="12" max="12" width="14.7109375" style="0" customWidth="1"/>
    <col min="13" max="14" width="12.8515625" style="0" customWidth="1"/>
    <col min="15" max="15" width="8.421875" style="0" customWidth="1"/>
    <col min="16" max="16" width="10.57421875" style="0" customWidth="1"/>
    <col min="18" max="18" width="10.421875" style="0" bestFit="1" customWidth="1"/>
  </cols>
  <sheetData>
    <row r="1" spans="1:16" ht="15">
      <c r="A1" s="1"/>
      <c r="B1" s="485" t="s">
        <v>0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</row>
    <row r="2" spans="1:16" ht="15">
      <c r="A2" s="1"/>
      <c r="B2" s="486" t="s">
        <v>213</v>
      </c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</row>
    <row r="3" spans="1:16" ht="22.5" customHeight="1" thickBot="1">
      <c r="A3" s="1"/>
      <c r="B3" s="487" t="s">
        <v>1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</row>
    <row r="4" spans="1:16" ht="15.75" thickBot="1">
      <c r="A4" s="1"/>
      <c r="B4" s="410" t="s">
        <v>2</v>
      </c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</row>
    <row r="5" spans="1:16" ht="15.75" thickBot="1">
      <c r="A5" s="2"/>
      <c r="B5" s="488" t="s">
        <v>193</v>
      </c>
      <c r="C5" s="344"/>
      <c r="D5" s="344"/>
      <c r="E5" s="345"/>
      <c r="F5" s="346"/>
      <c r="G5" s="346"/>
      <c r="H5" s="346"/>
      <c r="I5" s="346"/>
      <c r="J5" s="346"/>
      <c r="K5" s="346"/>
      <c r="L5" s="346"/>
      <c r="M5" s="346"/>
      <c r="N5" s="346"/>
      <c r="O5" s="489"/>
      <c r="P5" s="3">
        <v>365352.15</v>
      </c>
    </row>
    <row r="6" spans="1:16" ht="21" customHeight="1" thickBot="1">
      <c r="A6" s="2"/>
      <c r="B6" s="488" t="s">
        <v>214</v>
      </c>
      <c r="C6" s="344"/>
      <c r="D6" s="344"/>
      <c r="E6" s="345"/>
      <c r="F6" s="346"/>
      <c r="G6" s="346"/>
      <c r="H6" s="346"/>
      <c r="I6" s="346"/>
      <c r="J6" s="346"/>
      <c r="K6" s="346"/>
      <c r="L6" s="346"/>
      <c r="M6" s="346"/>
      <c r="N6" s="346"/>
      <c r="O6" s="489"/>
      <c r="P6" s="133">
        <v>914016.7</v>
      </c>
    </row>
    <row r="7" spans="1:16" ht="15.75" thickBot="1">
      <c r="A7" s="2"/>
      <c r="B7" s="493"/>
      <c r="C7" s="494"/>
      <c r="D7" s="494"/>
      <c r="E7" s="495"/>
      <c r="F7" s="434"/>
      <c r="G7" s="434"/>
      <c r="H7" s="434"/>
      <c r="I7" s="434"/>
      <c r="J7" s="434"/>
      <c r="K7" s="434"/>
      <c r="L7" s="434"/>
      <c r="M7" s="434"/>
      <c r="N7" s="496"/>
      <c r="O7" s="496"/>
      <c r="P7" s="435"/>
    </row>
    <row r="8" spans="1:16" ht="77.25" customHeight="1" thickBot="1">
      <c r="A8" s="4"/>
      <c r="B8" s="488" t="s">
        <v>3</v>
      </c>
      <c r="C8" s="344"/>
      <c r="D8" s="344"/>
      <c r="E8" s="345"/>
      <c r="F8" s="326" t="s">
        <v>4</v>
      </c>
      <c r="G8" s="327"/>
      <c r="H8" s="5" t="s">
        <v>5</v>
      </c>
      <c r="I8" s="326" t="s">
        <v>6</v>
      </c>
      <c r="J8" s="327"/>
      <c r="K8" s="77" t="s">
        <v>7</v>
      </c>
      <c r="L8" s="5" t="s">
        <v>8</v>
      </c>
      <c r="M8" s="135" t="s">
        <v>9</v>
      </c>
      <c r="N8" s="143" t="s">
        <v>10</v>
      </c>
      <c r="O8" s="91" t="s">
        <v>11</v>
      </c>
      <c r="P8" s="19"/>
    </row>
    <row r="9" spans="1:16" ht="15.75" thickBot="1">
      <c r="A9" s="2"/>
      <c r="B9" s="490" t="s">
        <v>12</v>
      </c>
      <c r="C9" s="491"/>
      <c r="D9" s="491"/>
      <c r="E9" s="492"/>
      <c r="F9" s="330">
        <v>0</v>
      </c>
      <c r="G9" s="331"/>
      <c r="H9" s="3">
        <v>0</v>
      </c>
      <c r="I9" s="330">
        <v>0</v>
      </c>
      <c r="J9" s="331"/>
      <c r="K9" s="78">
        <v>0</v>
      </c>
      <c r="L9" s="3">
        <v>0</v>
      </c>
      <c r="M9" s="132">
        <v>0</v>
      </c>
      <c r="N9" s="3">
        <v>0</v>
      </c>
      <c r="O9" s="75">
        <v>0</v>
      </c>
      <c r="P9" s="133">
        <v>0</v>
      </c>
    </row>
    <row r="10" spans="1:16" ht="27.75" customHeight="1" thickBot="1">
      <c r="A10" s="2"/>
      <c r="B10" s="490" t="s">
        <v>13</v>
      </c>
      <c r="C10" s="491"/>
      <c r="D10" s="491"/>
      <c r="E10" s="492"/>
      <c r="F10" s="330">
        <v>45332.21</v>
      </c>
      <c r="G10" s="331"/>
      <c r="H10" s="3">
        <v>612024</v>
      </c>
      <c r="I10" s="330">
        <v>121752</v>
      </c>
      <c r="J10" s="331"/>
      <c r="K10" s="78">
        <v>0</v>
      </c>
      <c r="L10" s="3">
        <v>110796.11</v>
      </c>
      <c r="M10" s="132">
        <v>0</v>
      </c>
      <c r="N10" s="3">
        <v>0</v>
      </c>
      <c r="O10" s="3">
        <v>24112.38</v>
      </c>
      <c r="P10" s="133">
        <f>SUM(F10:O10)</f>
        <v>914016.7</v>
      </c>
    </row>
    <row r="11" spans="1:16" ht="15.75" thickBot="1">
      <c r="A11" s="140"/>
      <c r="B11" s="477"/>
      <c r="C11" s="478"/>
      <c r="D11" s="478"/>
      <c r="E11" s="478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480"/>
    </row>
    <row r="12" spans="1:16" ht="15">
      <c r="A12" s="442"/>
      <c r="B12" s="400" t="s">
        <v>14</v>
      </c>
      <c r="C12" s="401"/>
      <c r="D12" s="401"/>
      <c r="E12" s="402"/>
      <c r="F12" s="393"/>
      <c r="G12" s="481" t="s">
        <v>15</v>
      </c>
      <c r="H12" s="479"/>
      <c r="I12" s="479"/>
      <c r="J12" s="479"/>
      <c r="K12" s="480"/>
      <c r="L12" s="393" t="s">
        <v>16</v>
      </c>
      <c r="M12" s="393" t="s">
        <v>17</v>
      </c>
      <c r="N12" s="393" t="s">
        <v>18</v>
      </c>
      <c r="O12" s="393" t="s">
        <v>19</v>
      </c>
      <c r="P12" s="393" t="s">
        <v>20</v>
      </c>
    </row>
    <row r="13" spans="1:16" ht="45" customHeight="1" thickBot="1">
      <c r="A13" s="443"/>
      <c r="B13" s="403"/>
      <c r="C13" s="404"/>
      <c r="D13" s="404"/>
      <c r="E13" s="405"/>
      <c r="F13" s="394"/>
      <c r="G13" s="482"/>
      <c r="H13" s="483"/>
      <c r="I13" s="483"/>
      <c r="J13" s="483"/>
      <c r="K13" s="484"/>
      <c r="L13" s="394"/>
      <c r="M13" s="394"/>
      <c r="N13" s="394"/>
      <c r="O13" s="394"/>
      <c r="P13" s="394"/>
    </row>
    <row r="14" spans="1:16" ht="18" customHeight="1" thickBot="1">
      <c r="A14" s="6"/>
      <c r="B14" s="350" t="s">
        <v>21</v>
      </c>
      <c r="C14" s="351"/>
      <c r="D14" s="352"/>
      <c r="E14" s="7" t="s">
        <v>22</v>
      </c>
      <c r="F14" s="139">
        <v>3</v>
      </c>
      <c r="G14" s="433">
        <v>4</v>
      </c>
      <c r="H14" s="434"/>
      <c r="I14" s="434"/>
      <c r="J14" s="435"/>
      <c r="K14" s="90">
        <v>5</v>
      </c>
      <c r="L14" s="138">
        <v>6</v>
      </c>
      <c r="M14" s="5">
        <v>7</v>
      </c>
      <c r="N14" s="138">
        <v>8</v>
      </c>
      <c r="O14" s="138">
        <v>9</v>
      </c>
      <c r="P14" s="5">
        <v>10</v>
      </c>
    </row>
    <row r="15" spans="1:16" ht="35.25" customHeight="1" thickBot="1">
      <c r="A15" s="442"/>
      <c r="B15" s="465" t="s">
        <v>23</v>
      </c>
      <c r="C15" s="466"/>
      <c r="D15" s="467"/>
      <c r="E15" s="8" t="s">
        <v>24</v>
      </c>
      <c r="F15" s="8" t="s">
        <v>25</v>
      </c>
      <c r="G15" s="471" t="s">
        <v>26</v>
      </c>
      <c r="H15" s="472"/>
      <c r="I15" s="472"/>
      <c r="J15" s="473"/>
      <c r="K15" s="79" t="s">
        <v>27</v>
      </c>
      <c r="L15" s="9" t="s">
        <v>26</v>
      </c>
      <c r="M15" s="10" t="s">
        <v>28</v>
      </c>
      <c r="N15" s="10" t="s">
        <v>26</v>
      </c>
      <c r="O15" s="10" t="s">
        <v>26</v>
      </c>
      <c r="P15" s="11" t="s">
        <v>26</v>
      </c>
    </row>
    <row r="16" spans="1:16" ht="40.5" customHeight="1" thickBot="1">
      <c r="A16" s="443"/>
      <c r="B16" s="468"/>
      <c r="C16" s="469"/>
      <c r="D16" s="470"/>
      <c r="E16" s="109">
        <f>SUM(E17:E23)</f>
        <v>1595113</v>
      </c>
      <c r="F16" s="110">
        <f>SUM(F17:F23)</f>
        <v>3447926</v>
      </c>
      <c r="G16" s="474">
        <f>SUM(G17:J23)</f>
        <v>1549825.82</v>
      </c>
      <c r="H16" s="475"/>
      <c r="I16" s="475"/>
      <c r="J16" s="476"/>
      <c r="K16" s="141">
        <f>SUM(K17:K23)</f>
        <v>1549825.82</v>
      </c>
      <c r="L16" s="141">
        <f>SUM(L17:L23)</f>
        <v>2931633.25</v>
      </c>
      <c r="M16" s="141">
        <f>SUM(M17:M23)</f>
        <v>45287.17999999999</v>
      </c>
      <c r="N16" s="141">
        <f>SUM(N17:N23)</f>
        <v>516292.75</v>
      </c>
      <c r="O16" s="12">
        <v>0</v>
      </c>
      <c r="P16" s="12">
        <v>0</v>
      </c>
    </row>
    <row r="17" spans="1:18" ht="47.25" customHeight="1" thickBot="1">
      <c r="A17" s="100" t="s">
        <v>195</v>
      </c>
      <c r="B17" s="456" t="s">
        <v>146</v>
      </c>
      <c r="C17" s="457"/>
      <c r="D17" s="458"/>
      <c r="E17" s="108">
        <v>947289</v>
      </c>
      <c r="F17" s="108">
        <f>1204989+E17</f>
        <v>2152278</v>
      </c>
      <c r="G17" s="450">
        <v>799337.64</v>
      </c>
      <c r="H17" s="451"/>
      <c r="I17" s="451"/>
      <c r="J17" s="452"/>
      <c r="K17" s="142">
        <f aca="true" t="shared" si="0" ref="K17:K22">G17</f>
        <v>799337.64</v>
      </c>
      <c r="L17" s="15">
        <f>522087.89+K17</f>
        <v>1321425.53</v>
      </c>
      <c r="M17" s="119">
        <f>E17-K17</f>
        <v>147951.36</v>
      </c>
      <c r="N17" s="124">
        <f>F17-L17</f>
        <v>830852.47</v>
      </c>
      <c r="O17" s="16">
        <v>0</v>
      </c>
      <c r="P17" s="16">
        <v>0</v>
      </c>
      <c r="Q17" s="1"/>
      <c r="R17" s="18">
        <v>365352.1499999948</v>
      </c>
    </row>
    <row r="18" spans="1:18" ht="39.75" customHeight="1" thickBot="1">
      <c r="A18" s="101" t="s">
        <v>196</v>
      </c>
      <c r="B18" s="459" t="s">
        <v>216</v>
      </c>
      <c r="C18" s="460"/>
      <c r="D18" s="461"/>
      <c r="E18" s="104">
        <v>637524</v>
      </c>
      <c r="F18" s="108">
        <f>637524+E18</f>
        <v>1275048</v>
      </c>
      <c r="G18" s="450">
        <v>612024</v>
      </c>
      <c r="H18" s="451"/>
      <c r="I18" s="451"/>
      <c r="J18" s="452"/>
      <c r="K18" s="142">
        <f t="shared" si="0"/>
        <v>612024</v>
      </c>
      <c r="L18" s="15">
        <f>612024+K18</f>
        <v>1224048</v>
      </c>
      <c r="M18" s="119">
        <f>E18-K18</f>
        <v>25500</v>
      </c>
      <c r="N18" s="124">
        <f aca="true" t="shared" si="1" ref="M18:N23">F18-L18</f>
        <v>51000</v>
      </c>
      <c r="O18" s="16">
        <v>0</v>
      </c>
      <c r="P18" s="16">
        <v>0</v>
      </c>
      <c r="Q18" s="1"/>
      <c r="R18" s="1"/>
    </row>
    <row r="19" spans="1:18" ht="28.5" customHeight="1" thickBot="1">
      <c r="A19" s="101" t="s">
        <v>197</v>
      </c>
      <c r="B19" s="462" t="s">
        <v>149</v>
      </c>
      <c r="C19" s="463"/>
      <c r="D19" s="464"/>
      <c r="E19" s="105"/>
      <c r="F19" s="108">
        <f>0+E19</f>
        <v>0</v>
      </c>
      <c r="G19" s="450"/>
      <c r="H19" s="451"/>
      <c r="I19" s="451"/>
      <c r="J19" s="452"/>
      <c r="K19" s="142">
        <f t="shared" si="0"/>
        <v>0</v>
      </c>
      <c r="L19" s="15">
        <f>117320+K19</f>
        <v>117320</v>
      </c>
      <c r="M19" s="119">
        <f t="shared" si="1"/>
        <v>0</v>
      </c>
      <c r="N19" s="124">
        <f t="shared" si="1"/>
        <v>-117320</v>
      </c>
      <c r="O19" s="16">
        <v>0</v>
      </c>
      <c r="P19" s="17">
        <v>0</v>
      </c>
      <c r="Q19" s="1"/>
      <c r="R19" s="1"/>
    </row>
    <row r="20" spans="1:18" ht="48" customHeight="1" thickBot="1">
      <c r="A20" s="102" t="s">
        <v>198</v>
      </c>
      <c r="B20" s="448" t="s">
        <v>147</v>
      </c>
      <c r="C20" s="449"/>
      <c r="D20" s="449"/>
      <c r="E20" s="106"/>
      <c r="F20" s="108">
        <f>0+E20</f>
        <v>0</v>
      </c>
      <c r="G20" s="450"/>
      <c r="H20" s="451"/>
      <c r="I20" s="451"/>
      <c r="J20" s="452"/>
      <c r="K20" s="142">
        <f t="shared" si="0"/>
        <v>0</v>
      </c>
      <c r="L20" s="15">
        <f>0+K20</f>
        <v>0</v>
      </c>
      <c r="M20" s="119">
        <f t="shared" si="1"/>
        <v>0</v>
      </c>
      <c r="N20" s="124">
        <f t="shared" si="1"/>
        <v>0</v>
      </c>
      <c r="O20" s="16">
        <v>0</v>
      </c>
      <c r="P20" s="16">
        <v>0</v>
      </c>
      <c r="Q20" s="18"/>
      <c r="R20" s="18"/>
    </row>
    <row r="21" spans="1:18" ht="36" customHeight="1" thickBot="1">
      <c r="A21" s="103" t="s">
        <v>199</v>
      </c>
      <c r="B21" s="453" t="s">
        <v>148</v>
      </c>
      <c r="C21" s="454"/>
      <c r="D21" s="455"/>
      <c r="E21" s="107"/>
      <c r="F21" s="108">
        <f>0+E21</f>
        <v>0</v>
      </c>
      <c r="G21" s="450"/>
      <c r="H21" s="451"/>
      <c r="I21" s="451"/>
      <c r="J21" s="452"/>
      <c r="K21" s="142">
        <f t="shared" si="0"/>
        <v>0</v>
      </c>
      <c r="L21" s="15">
        <f>0+K21</f>
        <v>0</v>
      </c>
      <c r="M21" s="119">
        <f t="shared" si="1"/>
        <v>0</v>
      </c>
      <c r="N21" s="124">
        <f t="shared" si="1"/>
        <v>0</v>
      </c>
      <c r="O21" s="16">
        <v>0</v>
      </c>
      <c r="P21" s="16">
        <v>0</v>
      </c>
      <c r="Q21" s="18"/>
      <c r="R21" s="1"/>
    </row>
    <row r="22" spans="1:18" ht="33.75" customHeight="1" thickBot="1">
      <c r="A22" s="103" t="s">
        <v>200</v>
      </c>
      <c r="B22" s="456" t="s">
        <v>201</v>
      </c>
      <c r="C22" s="457"/>
      <c r="D22" s="458"/>
      <c r="E22" s="82">
        <v>10300</v>
      </c>
      <c r="F22" s="108">
        <f>10300+E22</f>
        <v>20600</v>
      </c>
      <c r="G22" s="450"/>
      <c r="H22" s="451"/>
      <c r="I22" s="451"/>
      <c r="J22" s="452"/>
      <c r="K22" s="142">
        <f t="shared" si="0"/>
        <v>0</v>
      </c>
      <c r="L22" s="15">
        <f>810+K22</f>
        <v>810</v>
      </c>
      <c r="M22" s="119">
        <f t="shared" si="1"/>
        <v>10300</v>
      </c>
      <c r="N22" s="124">
        <f t="shared" si="1"/>
        <v>19790</v>
      </c>
      <c r="O22" s="16">
        <v>0</v>
      </c>
      <c r="P22" s="16">
        <v>0</v>
      </c>
      <c r="Q22" s="1"/>
      <c r="R22" s="1"/>
    </row>
    <row r="23" spans="1:18" ht="35.25" customHeight="1" thickBot="1">
      <c r="A23" s="103" t="s">
        <v>202</v>
      </c>
      <c r="B23" s="436" t="s">
        <v>140</v>
      </c>
      <c r="C23" s="437"/>
      <c r="D23" s="438"/>
      <c r="E23" s="14"/>
      <c r="F23" s="108"/>
      <c r="G23" s="439">
        <v>138464.18</v>
      </c>
      <c r="H23" s="440"/>
      <c r="I23" s="440"/>
      <c r="J23" s="441"/>
      <c r="K23" s="142">
        <f>G23</f>
        <v>138464.18</v>
      </c>
      <c r="L23" s="15">
        <f>129565.54+K23</f>
        <v>268029.72</v>
      </c>
      <c r="M23" s="119">
        <f t="shared" si="1"/>
        <v>-138464.18</v>
      </c>
      <c r="N23" s="124">
        <f t="shared" si="1"/>
        <v>-268029.72</v>
      </c>
      <c r="O23" s="16">
        <v>0</v>
      </c>
      <c r="P23" s="16">
        <v>0</v>
      </c>
      <c r="Q23" s="1"/>
      <c r="R23" s="1"/>
    </row>
    <row r="24" spans="1:18" ht="15">
      <c r="A24" s="442"/>
      <c r="B24" s="444" t="s">
        <v>30</v>
      </c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3"/>
      <c r="Q24" s="1"/>
      <c r="R24" s="1"/>
    </row>
    <row r="25" spans="1:18" ht="15.75" thickBot="1">
      <c r="A25" s="443"/>
      <c r="B25" s="445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5"/>
      <c r="Q25" s="1"/>
      <c r="R25" s="1"/>
    </row>
    <row r="26" spans="1:18" ht="15.75" thickBot="1">
      <c r="A26" s="446"/>
      <c r="B26" s="400" t="s">
        <v>14</v>
      </c>
      <c r="C26" s="401"/>
      <c r="D26" s="402"/>
      <c r="E26" s="406" t="s">
        <v>24</v>
      </c>
      <c r="F26" s="408" t="s">
        <v>25</v>
      </c>
      <c r="G26" s="326" t="s">
        <v>31</v>
      </c>
      <c r="H26" s="410"/>
      <c r="I26" s="410"/>
      <c r="J26" s="410"/>
      <c r="K26" s="327"/>
      <c r="L26" s="393" t="s">
        <v>16</v>
      </c>
      <c r="M26" s="393" t="s">
        <v>17</v>
      </c>
      <c r="N26" s="393" t="s">
        <v>18</v>
      </c>
      <c r="O26" s="393" t="s">
        <v>19</v>
      </c>
      <c r="P26" s="393" t="s">
        <v>20</v>
      </c>
      <c r="Q26" s="1"/>
      <c r="R26" s="1"/>
    </row>
    <row r="27" spans="1:18" ht="100.5" customHeight="1" thickBot="1">
      <c r="A27" s="447"/>
      <c r="B27" s="403"/>
      <c r="C27" s="404"/>
      <c r="D27" s="405"/>
      <c r="E27" s="407"/>
      <c r="F27" s="409"/>
      <c r="G27" s="134" t="s">
        <v>32</v>
      </c>
      <c r="H27" s="134" t="s">
        <v>33</v>
      </c>
      <c r="I27" s="134" t="s">
        <v>34</v>
      </c>
      <c r="J27" s="5" t="s">
        <v>35</v>
      </c>
      <c r="K27" s="77" t="s">
        <v>27</v>
      </c>
      <c r="L27" s="394"/>
      <c r="M27" s="394"/>
      <c r="N27" s="394"/>
      <c r="O27" s="394"/>
      <c r="P27" s="394"/>
      <c r="Q27" s="1"/>
      <c r="R27" s="18">
        <v>365352.1499999948</v>
      </c>
    </row>
    <row r="28" spans="1:18" ht="15.75" thickBot="1">
      <c r="A28" s="6"/>
      <c r="B28" s="350">
        <v>1</v>
      </c>
      <c r="C28" s="351"/>
      <c r="D28" s="352"/>
      <c r="E28" s="7" t="s">
        <v>22</v>
      </c>
      <c r="F28" s="134">
        <v>3</v>
      </c>
      <c r="G28" s="134">
        <v>4</v>
      </c>
      <c r="H28" s="134">
        <v>5</v>
      </c>
      <c r="I28" s="5">
        <v>6</v>
      </c>
      <c r="J28" s="5">
        <v>7</v>
      </c>
      <c r="K28" s="89">
        <v>8</v>
      </c>
      <c r="L28" s="138">
        <v>9</v>
      </c>
      <c r="M28" s="5">
        <v>10</v>
      </c>
      <c r="N28" s="138">
        <v>11</v>
      </c>
      <c r="O28" s="5">
        <v>12</v>
      </c>
      <c r="P28" s="138">
        <v>13</v>
      </c>
      <c r="Q28" s="1"/>
      <c r="R28" s="1"/>
    </row>
    <row r="29" spans="1:18" ht="28.5" customHeight="1" thickBot="1">
      <c r="A29" s="6"/>
      <c r="B29" s="433" t="s">
        <v>23</v>
      </c>
      <c r="C29" s="434"/>
      <c r="D29" s="435"/>
      <c r="E29" s="76">
        <f aca="true" t="shared" si="2" ref="E29:N29">E30+E34+E38+E44+E51+E54+E64+E67+E71+E74+E78+E80+E88+E101+E133+E136+E139+E142</f>
        <v>1595113</v>
      </c>
      <c r="F29" s="76">
        <f>F30+F34+F38+F44+F51+F54+F64+F67+F71+F74+F78+F80+F88+F101+F133+F136+F139+F142</f>
        <v>3447926</v>
      </c>
      <c r="G29" s="76">
        <f t="shared" si="2"/>
        <v>806093.16</v>
      </c>
      <c r="H29" s="76">
        <f t="shared" si="2"/>
        <v>772114.3500000001</v>
      </c>
      <c r="I29" s="76">
        <f t="shared" si="2"/>
        <v>79173</v>
      </c>
      <c r="J29" s="76">
        <f t="shared" si="2"/>
        <v>138964.93</v>
      </c>
      <c r="K29" s="76">
        <f t="shared" si="2"/>
        <v>1796345.44</v>
      </c>
      <c r="L29" s="76">
        <f t="shared" si="2"/>
        <v>2629488.32</v>
      </c>
      <c r="M29" s="76">
        <f t="shared" si="2"/>
        <v>-201232.44000000006</v>
      </c>
      <c r="N29" s="76">
        <f t="shared" si="2"/>
        <v>818437.6799999999</v>
      </c>
      <c r="O29" s="21">
        <v>0</v>
      </c>
      <c r="P29" s="21">
        <v>0</v>
      </c>
      <c r="Q29" s="1"/>
      <c r="R29" s="18"/>
    </row>
    <row r="30" spans="1:18" ht="25.5" customHeight="1" thickBot="1">
      <c r="A30" s="22" t="s">
        <v>21</v>
      </c>
      <c r="B30" s="426" t="s">
        <v>36</v>
      </c>
      <c r="C30" s="338"/>
      <c r="D30" s="339"/>
      <c r="E30" s="111">
        <f>SUM(E31:E32)</f>
        <v>769724</v>
      </c>
      <c r="F30" s="81">
        <f>F31+F32+F33</f>
        <v>1539448</v>
      </c>
      <c r="G30" s="20">
        <f>G31+G32+G33</f>
        <v>199579.6</v>
      </c>
      <c r="H30" s="20">
        <f>H31</f>
        <v>625458.93</v>
      </c>
      <c r="I30" s="20"/>
      <c r="J30" s="20"/>
      <c r="K30" s="81">
        <f>G30+H30</f>
        <v>825038.53</v>
      </c>
      <c r="L30" s="23">
        <f>163027.42+K30</f>
        <v>988065.9500000001</v>
      </c>
      <c r="M30" s="120">
        <f>E30-K30</f>
        <v>-55314.53000000003</v>
      </c>
      <c r="N30" s="122">
        <f>F30-L30</f>
        <v>551382.0499999999</v>
      </c>
      <c r="O30" s="26">
        <v>0</v>
      </c>
      <c r="P30" s="27">
        <v>0</v>
      </c>
      <c r="Q30" s="18"/>
      <c r="R30" s="18"/>
    </row>
    <row r="31" spans="1:18" ht="17.25" customHeight="1" thickBot="1">
      <c r="A31" s="29" t="s">
        <v>150</v>
      </c>
      <c r="B31" s="430" t="s">
        <v>151</v>
      </c>
      <c r="C31" s="431"/>
      <c r="D31" s="432"/>
      <c r="E31" s="112">
        <v>519779</v>
      </c>
      <c r="F31" s="108">
        <f>519779+E31</f>
        <v>1039558</v>
      </c>
      <c r="G31" s="20"/>
      <c r="H31" s="33">
        <v>625458.93</v>
      </c>
      <c r="I31" s="20"/>
      <c r="J31" s="20"/>
      <c r="K31" s="82">
        <f>H31</f>
        <v>625458.93</v>
      </c>
      <c r="L31" s="15">
        <f>0+K31</f>
        <v>625458.93</v>
      </c>
      <c r="M31" s="119">
        <f>E31-K31</f>
        <v>-105679.93000000005</v>
      </c>
      <c r="N31" s="121">
        <f>F31-L31</f>
        <v>414099.06999999995</v>
      </c>
      <c r="O31" s="31">
        <v>0</v>
      </c>
      <c r="P31" s="123">
        <v>0</v>
      </c>
      <c r="Q31" s="18"/>
      <c r="R31" s="18"/>
    </row>
    <row r="32" spans="1:18" ht="30" customHeight="1" thickBot="1">
      <c r="A32" s="29" t="s">
        <v>153</v>
      </c>
      <c r="B32" s="340" t="s">
        <v>152</v>
      </c>
      <c r="C32" s="341"/>
      <c r="D32" s="342"/>
      <c r="E32" s="112">
        <v>249945</v>
      </c>
      <c r="F32" s="108">
        <f>249945+E32</f>
        <v>499890</v>
      </c>
      <c r="G32" s="33">
        <v>199579.6</v>
      </c>
      <c r="H32" s="20"/>
      <c r="I32" s="20"/>
      <c r="J32" s="33"/>
      <c r="K32" s="15">
        <f>0+G32</f>
        <v>199579.6</v>
      </c>
      <c r="L32" s="15">
        <f>163027.42+K32</f>
        <v>362607.02</v>
      </c>
      <c r="M32" s="119">
        <f>E32-K32</f>
        <v>50365.399999999994</v>
      </c>
      <c r="N32" s="121">
        <f>F32-L32</f>
        <v>137282.97999999998</v>
      </c>
      <c r="O32" s="31">
        <v>0</v>
      </c>
      <c r="P32" s="123">
        <v>0</v>
      </c>
      <c r="Q32" s="18"/>
      <c r="R32" s="18"/>
    </row>
    <row r="33" spans="1:18" ht="18.75" customHeight="1" thickBot="1">
      <c r="A33" s="29" t="s">
        <v>155</v>
      </c>
      <c r="B33" s="340" t="s">
        <v>154</v>
      </c>
      <c r="C33" s="341"/>
      <c r="D33" s="342"/>
      <c r="E33" s="95"/>
      <c r="F33" s="23"/>
      <c r="G33" s="20"/>
      <c r="H33" s="20"/>
      <c r="I33" s="20"/>
      <c r="J33" s="20"/>
      <c r="K33" s="81"/>
      <c r="L33" s="23"/>
      <c r="M33" s="24"/>
      <c r="N33" s="25"/>
      <c r="O33" s="26"/>
      <c r="P33" s="27"/>
      <c r="Q33" s="18"/>
      <c r="R33" s="18"/>
    </row>
    <row r="34" spans="1:18" ht="30" customHeight="1" thickBot="1">
      <c r="A34" s="128" t="s">
        <v>22</v>
      </c>
      <c r="B34" s="395" t="s">
        <v>37</v>
      </c>
      <c r="C34" s="396"/>
      <c r="D34" s="397"/>
      <c r="E34" s="81">
        <f>SUM(E35:E37)</f>
        <v>155484</v>
      </c>
      <c r="F34" s="81">
        <f>F35+F36+F37</f>
        <v>310968</v>
      </c>
      <c r="G34" s="20">
        <f>G35+G36+G37</f>
        <v>0</v>
      </c>
      <c r="H34" s="20">
        <f>H35</f>
        <v>146655.42</v>
      </c>
      <c r="I34" s="20"/>
      <c r="J34" s="20"/>
      <c r="K34" s="81">
        <f>G34+H34</f>
        <v>146655.42</v>
      </c>
      <c r="L34" s="23">
        <f>0+K34</f>
        <v>146655.42</v>
      </c>
      <c r="M34" s="120">
        <f aca="true" t="shared" si="3" ref="M34:N36">E34-K34</f>
        <v>8828.579999999987</v>
      </c>
      <c r="N34" s="125">
        <f t="shared" si="3"/>
        <v>164312.58</v>
      </c>
      <c r="O34" s="26">
        <v>0</v>
      </c>
      <c r="P34" s="27">
        <v>0</v>
      </c>
      <c r="Q34" s="1"/>
      <c r="R34" s="1"/>
    </row>
    <row r="35" spans="1:18" ht="18.75" customHeight="1" thickBot="1">
      <c r="A35" s="29" t="s">
        <v>156</v>
      </c>
      <c r="B35" s="430" t="s">
        <v>151</v>
      </c>
      <c r="C35" s="431"/>
      <c r="D35" s="432"/>
      <c r="E35" s="82">
        <v>104995</v>
      </c>
      <c r="F35" s="108">
        <f>104995+E35</f>
        <v>209990</v>
      </c>
      <c r="G35" s="20"/>
      <c r="H35" s="33">
        <v>146655.42</v>
      </c>
      <c r="I35" s="33"/>
      <c r="J35" s="33"/>
      <c r="K35" s="82">
        <f>H35</f>
        <v>146655.42</v>
      </c>
      <c r="L35" s="15">
        <f>0+K35</f>
        <v>146655.42</v>
      </c>
      <c r="M35" s="119">
        <f t="shared" si="3"/>
        <v>-41660.42000000001</v>
      </c>
      <c r="N35" s="121">
        <f t="shared" si="3"/>
        <v>63334.57999999999</v>
      </c>
      <c r="O35" s="31">
        <v>0</v>
      </c>
      <c r="P35" s="123">
        <v>0</v>
      </c>
      <c r="Q35" s="1"/>
      <c r="R35" s="1"/>
    </row>
    <row r="36" spans="1:18" ht="31.5" customHeight="1" thickBot="1">
      <c r="A36" s="29" t="s">
        <v>157</v>
      </c>
      <c r="B36" s="340" t="s">
        <v>152</v>
      </c>
      <c r="C36" s="341"/>
      <c r="D36" s="342"/>
      <c r="E36" s="82">
        <v>50489</v>
      </c>
      <c r="F36" s="108">
        <f>50489+E36</f>
        <v>100978</v>
      </c>
      <c r="G36" s="20"/>
      <c r="H36" s="20"/>
      <c r="I36" s="20"/>
      <c r="J36" s="20"/>
      <c r="K36" s="82">
        <f>H36</f>
        <v>0</v>
      </c>
      <c r="L36" s="15">
        <f>0+K36</f>
        <v>0</v>
      </c>
      <c r="M36" s="119">
        <f t="shared" si="3"/>
        <v>50489</v>
      </c>
      <c r="N36" s="121">
        <f t="shared" si="3"/>
        <v>100978</v>
      </c>
      <c r="O36" s="31">
        <v>0</v>
      </c>
      <c r="P36" s="123">
        <v>0</v>
      </c>
      <c r="Q36" s="1"/>
      <c r="R36" s="1"/>
    </row>
    <row r="37" spans="1:18" ht="15.75" thickBot="1">
      <c r="A37" s="29" t="s">
        <v>158</v>
      </c>
      <c r="B37" s="340" t="s">
        <v>154</v>
      </c>
      <c r="C37" s="341"/>
      <c r="D37" s="342"/>
      <c r="E37" s="82"/>
      <c r="F37" s="108"/>
      <c r="G37" s="20"/>
      <c r="H37" s="20"/>
      <c r="I37" s="20"/>
      <c r="J37" s="20"/>
      <c r="K37" s="81"/>
      <c r="L37" s="23"/>
      <c r="M37" s="24"/>
      <c r="N37" s="28"/>
      <c r="O37" s="26"/>
      <c r="P37" s="27"/>
      <c r="Q37" s="1"/>
      <c r="R37" s="1"/>
    </row>
    <row r="38" spans="1:18" ht="25.5" customHeight="1" thickBot="1">
      <c r="A38" s="22" t="s">
        <v>38</v>
      </c>
      <c r="B38" s="395" t="s">
        <v>39</v>
      </c>
      <c r="C38" s="396"/>
      <c r="D38" s="397"/>
      <c r="E38" s="81">
        <f>SUM(E41:E43)</f>
        <v>4500</v>
      </c>
      <c r="F38" s="114">
        <f>F41+F42+F43</f>
        <v>12000</v>
      </c>
      <c r="G38" s="20">
        <f>G40</f>
        <v>4183.55</v>
      </c>
      <c r="H38" s="20"/>
      <c r="I38" s="20"/>
      <c r="J38" s="20"/>
      <c r="K38" s="23">
        <f>K39+K40</f>
        <v>4183.55</v>
      </c>
      <c r="L38" s="23">
        <f>4216.61+K38</f>
        <v>8400.16</v>
      </c>
      <c r="M38" s="120">
        <f>E38-K38</f>
        <v>316.4499999999998</v>
      </c>
      <c r="N38" s="122">
        <f>F38-L38</f>
        <v>3599.84</v>
      </c>
      <c r="O38" s="26">
        <v>0</v>
      </c>
      <c r="P38" s="27">
        <v>0</v>
      </c>
      <c r="Q38" s="1"/>
      <c r="R38" s="1"/>
    </row>
    <row r="39" spans="1:18" ht="15.75" thickBot="1">
      <c r="A39" s="29" t="s">
        <v>159</v>
      </c>
      <c r="B39" s="430" t="s">
        <v>151</v>
      </c>
      <c r="C39" s="431"/>
      <c r="D39" s="432"/>
      <c r="E39" s="23"/>
      <c r="F39" s="108"/>
      <c r="G39" s="20"/>
      <c r="H39" s="20"/>
      <c r="I39" s="20"/>
      <c r="J39" s="20"/>
      <c r="K39" s="81"/>
      <c r="L39" s="23"/>
      <c r="M39" s="24"/>
      <c r="N39" s="28"/>
      <c r="O39" s="26"/>
      <c r="P39" s="27"/>
      <c r="Q39" s="1"/>
      <c r="R39" s="1"/>
    </row>
    <row r="40" spans="1:18" ht="15.75" thickBot="1">
      <c r="A40" s="29" t="s">
        <v>160</v>
      </c>
      <c r="B40" s="340" t="s">
        <v>152</v>
      </c>
      <c r="C40" s="341"/>
      <c r="D40" s="342"/>
      <c r="E40" s="82">
        <v>7500</v>
      </c>
      <c r="F40" s="108">
        <f>0+E40</f>
        <v>7500</v>
      </c>
      <c r="G40" s="33">
        <f>G41+G42</f>
        <v>4183.55</v>
      </c>
      <c r="H40" s="20"/>
      <c r="I40" s="20"/>
      <c r="J40" s="33"/>
      <c r="K40" s="15">
        <f>0+G40</f>
        <v>4183.55</v>
      </c>
      <c r="L40" s="15">
        <f>4216.61+K40</f>
        <v>8400.16</v>
      </c>
      <c r="M40" s="119">
        <f aca="true" t="shared" si="4" ref="M40:N55">E40-K40</f>
        <v>3316.45</v>
      </c>
      <c r="N40" s="121">
        <f t="shared" si="4"/>
        <v>-900.1599999999999</v>
      </c>
      <c r="O40" s="31">
        <v>0</v>
      </c>
      <c r="P40" s="123">
        <v>0</v>
      </c>
      <c r="Q40" s="1"/>
      <c r="R40" s="1"/>
    </row>
    <row r="41" spans="1:18" ht="15.75" thickBot="1">
      <c r="A41" s="29" t="s">
        <v>40</v>
      </c>
      <c r="B41" s="427" t="s">
        <v>41</v>
      </c>
      <c r="C41" s="428"/>
      <c r="D41" s="429"/>
      <c r="E41" s="108">
        <v>2281</v>
      </c>
      <c r="F41" s="108">
        <f>2281+E41</f>
        <v>4562</v>
      </c>
      <c r="G41" s="33">
        <v>1964.55</v>
      </c>
      <c r="H41" s="20"/>
      <c r="I41" s="20"/>
      <c r="J41" s="33"/>
      <c r="K41" s="15">
        <f>0+G41</f>
        <v>1964.55</v>
      </c>
      <c r="L41" s="15">
        <f>1997.61+K41</f>
        <v>3962.16</v>
      </c>
      <c r="M41" s="119">
        <f t="shared" si="4"/>
        <v>316.45000000000005</v>
      </c>
      <c r="N41" s="121">
        <f t="shared" si="4"/>
        <v>599.8400000000001</v>
      </c>
      <c r="O41" s="31">
        <v>0</v>
      </c>
      <c r="P41" s="123">
        <v>0</v>
      </c>
      <c r="Q41" s="1"/>
      <c r="R41" s="1"/>
    </row>
    <row r="42" spans="1:18" ht="15.75" thickBot="1">
      <c r="A42" s="29" t="s">
        <v>42</v>
      </c>
      <c r="B42" s="427" t="s">
        <v>43</v>
      </c>
      <c r="C42" s="428"/>
      <c r="D42" s="429"/>
      <c r="E42" s="108">
        <v>2219</v>
      </c>
      <c r="F42" s="108">
        <f>2219+E42</f>
        <v>4438</v>
      </c>
      <c r="G42" s="33">
        <v>2219</v>
      </c>
      <c r="H42" s="20"/>
      <c r="I42" s="20"/>
      <c r="J42" s="33"/>
      <c r="K42" s="15">
        <f>0+G42</f>
        <v>2219</v>
      </c>
      <c r="L42" s="15">
        <f>2219+K42</f>
        <v>4438</v>
      </c>
      <c r="M42" s="119">
        <f t="shared" si="4"/>
        <v>0</v>
      </c>
      <c r="N42" s="121">
        <f t="shared" si="4"/>
        <v>0</v>
      </c>
      <c r="O42" s="31">
        <v>0</v>
      </c>
      <c r="P42" s="123">
        <v>0</v>
      </c>
      <c r="Q42" s="1"/>
      <c r="R42" s="1"/>
    </row>
    <row r="43" spans="1:18" ht="15.75" thickBot="1">
      <c r="A43" s="29" t="s">
        <v>44</v>
      </c>
      <c r="B43" s="427" t="s">
        <v>45</v>
      </c>
      <c r="C43" s="428"/>
      <c r="D43" s="429"/>
      <c r="E43" s="108"/>
      <c r="F43" s="108">
        <f>3000+E43</f>
        <v>3000</v>
      </c>
      <c r="G43" s="13"/>
      <c r="H43" s="13"/>
      <c r="I43" s="13"/>
      <c r="J43" s="20"/>
      <c r="K43" s="15">
        <f>0+J43</f>
        <v>0</v>
      </c>
      <c r="L43" s="15">
        <f>0+K43</f>
        <v>0</v>
      </c>
      <c r="M43" s="119">
        <f t="shared" si="4"/>
        <v>0</v>
      </c>
      <c r="N43" s="121">
        <f t="shared" si="4"/>
        <v>3000</v>
      </c>
      <c r="O43" s="31">
        <v>0</v>
      </c>
      <c r="P43" s="123">
        <v>0</v>
      </c>
      <c r="Q43" s="1"/>
      <c r="R43" s="18"/>
    </row>
    <row r="44" spans="1:18" ht="36" customHeight="1" thickBot="1">
      <c r="A44" s="22" t="s">
        <v>46</v>
      </c>
      <c r="B44" s="395" t="s">
        <v>47</v>
      </c>
      <c r="C44" s="396"/>
      <c r="D44" s="397"/>
      <c r="E44" s="81">
        <f>SUM(E47:E49)</f>
        <v>210000</v>
      </c>
      <c r="F44" s="114">
        <f>222600+E44</f>
        <v>432600</v>
      </c>
      <c r="G44" s="23">
        <f>G45+G46+G47</f>
        <v>157687</v>
      </c>
      <c r="H44" s="13"/>
      <c r="I44" s="32"/>
      <c r="J44" s="20"/>
      <c r="K44" s="23">
        <f>K45+K46+K47</f>
        <v>157687</v>
      </c>
      <c r="L44" s="23">
        <f>203194+K44</f>
        <v>360881</v>
      </c>
      <c r="M44" s="120">
        <f t="shared" si="4"/>
        <v>52313</v>
      </c>
      <c r="N44" s="122">
        <f t="shared" si="4"/>
        <v>71719</v>
      </c>
      <c r="O44" s="26">
        <v>0</v>
      </c>
      <c r="P44" s="27">
        <v>0</v>
      </c>
      <c r="Q44" s="1"/>
      <c r="R44" s="1"/>
    </row>
    <row r="45" spans="1:18" ht="28.5" customHeight="1" thickBot="1">
      <c r="A45" s="29" t="s">
        <v>161</v>
      </c>
      <c r="B45" s="340" t="s">
        <v>152</v>
      </c>
      <c r="C45" s="341"/>
      <c r="D45" s="342"/>
      <c r="E45" s="112">
        <f>E48+E49</f>
        <v>210000</v>
      </c>
      <c r="F45" s="108">
        <f>222600+E45</f>
        <v>432600</v>
      </c>
      <c r="G45" s="15">
        <f>G48+G49</f>
        <v>157687</v>
      </c>
      <c r="H45" s="13"/>
      <c r="I45" s="32"/>
      <c r="J45" s="33"/>
      <c r="K45" s="15">
        <f>0+G45</f>
        <v>157687</v>
      </c>
      <c r="L45" s="15">
        <f>203194+K45</f>
        <v>360881</v>
      </c>
      <c r="M45" s="119">
        <f t="shared" si="4"/>
        <v>52313</v>
      </c>
      <c r="N45" s="124">
        <f t="shared" si="4"/>
        <v>71719</v>
      </c>
      <c r="O45" s="31">
        <v>0</v>
      </c>
      <c r="P45" s="123">
        <v>0</v>
      </c>
      <c r="Q45" s="1"/>
      <c r="R45" s="1"/>
    </row>
    <row r="46" spans="1:18" ht="15.75" thickBot="1">
      <c r="A46" s="29" t="s">
        <v>162</v>
      </c>
      <c r="B46" s="430" t="s">
        <v>151</v>
      </c>
      <c r="C46" s="431"/>
      <c r="D46" s="432"/>
      <c r="E46" s="94"/>
      <c r="F46" s="108"/>
      <c r="G46" s="23"/>
      <c r="H46" s="13"/>
      <c r="I46" s="32"/>
      <c r="J46" s="33"/>
      <c r="K46" s="15">
        <f aca="true" t="shared" si="5" ref="K46:K53">0+G46</f>
        <v>0</v>
      </c>
      <c r="L46" s="15">
        <f aca="true" t="shared" si="6" ref="L46:L66">0+K46</f>
        <v>0</v>
      </c>
      <c r="M46" s="119">
        <f t="shared" si="4"/>
        <v>0</v>
      </c>
      <c r="N46" s="121">
        <f t="shared" si="4"/>
        <v>0</v>
      </c>
      <c r="O46" s="31">
        <v>0</v>
      </c>
      <c r="P46" s="123">
        <v>0</v>
      </c>
      <c r="Q46" s="1"/>
      <c r="R46" s="1"/>
    </row>
    <row r="47" spans="1:18" ht="15.75" thickBot="1">
      <c r="A47" s="29" t="s">
        <v>163</v>
      </c>
      <c r="B47" s="96" t="s">
        <v>154</v>
      </c>
      <c r="C47" s="97"/>
      <c r="D47" s="97"/>
      <c r="E47" s="126"/>
      <c r="F47" s="108"/>
      <c r="G47" s="23"/>
      <c r="H47" s="13"/>
      <c r="I47" s="32"/>
      <c r="J47" s="33"/>
      <c r="K47" s="15">
        <f t="shared" si="5"/>
        <v>0</v>
      </c>
      <c r="L47" s="15">
        <f t="shared" si="6"/>
        <v>0</v>
      </c>
      <c r="M47" s="119">
        <f t="shared" si="4"/>
        <v>0</v>
      </c>
      <c r="N47" s="121">
        <f t="shared" si="4"/>
        <v>0</v>
      </c>
      <c r="O47" s="31">
        <v>0</v>
      </c>
      <c r="P47" s="123">
        <v>0</v>
      </c>
      <c r="Q47" s="1"/>
      <c r="R47" s="161">
        <f>L48+L49</f>
        <v>360881</v>
      </c>
    </row>
    <row r="48" spans="1:18" ht="15.75" thickBot="1">
      <c r="A48" s="29" t="s">
        <v>48</v>
      </c>
      <c r="B48" s="359" t="s">
        <v>49</v>
      </c>
      <c r="C48" s="360"/>
      <c r="D48" s="361"/>
      <c r="E48" s="108">
        <v>210000</v>
      </c>
      <c r="F48" s="108">
        <f>210000+E48</f>
        <v>420000</v>
      </c>
      <c r="G48" s="13">
        <v>155806</v>
      </c>
      <c r="H48" s="13"/>
      <c r="I48" s="13"/>
      <c r="J48" s="33"/>
      <c r="K48" s="15">
        <f t="shared" si="5"/>
        <v>155806</v>
      </c>
      <c r="L48" s="15">
        <f>202952+K48</f>
        <v>358758</v>
      </c>
      <c r="M48" s="119">
        <f t="shared" si="4"/>
        <v>54194</v>
      </c>
      <c r="N48" s="121">
        <f t="shared" si="4"/>
        <v>61242</v>
      </c>
      <c r="O48" s="31">
        <v>0</v>
      </c>
      <c r="P48" s="123">
        <v>0</v>
      </c>
      <c r="Q48" s="1"/>
      <c r="R48" s="18"/>
    </row>
    <row r="49" spans="1:18" ht="15.75" thickBot="1">
      <c r="A49" s="29" t="s">
        <v>50</v>
      </c>
      <c r="B49" s="359" t="s">
        <v>51</v>
      </c>
      <c r="C49" s="360"/>
      <c r="D49" s="361"/>
      <c r="E49" s="108">
        <v>0</v>
      </c>
      <c r="F49" s="108">
        <f>12600+E49</f>
        <v>12600</v>
      </c>
      <c r="G49" s="13">
        <v>1881</v>
      </c>
      <c r="H49" s="13"/>
      <c r="I49" s="13"/>
      <c r="J49" s="33"/>
      <c r="K49" s="15">
        <f t="shared" si="5"/>
        <v>1881</v>
      </c>
      <c r="L49" s="15">
        <f>242+K49</f>
        <v>2123</v>
      </c>
      <c r="M49" s="119">
        <f t="shared" si="4"/>
        <v>-1881</v>
      </c>
      <c r="N49" s="121">
        <f t="shared" si="4"/>
        <v>10477</v>
      </c>
      <c r="O49" s="31">
        <v>0</v>
      </c>
      <c r="P49" s="123">
        <v>0</v>
      </c>
      <c r="Q49" s="1"/>
      <c r="R49" s="1"/>
    </row>
    <row r="50" spans="1:18" ht="15.75" thickBot="1">
      <c r="A50" s="29" t="s">
        <v>52</v>
      </c>
      <c r="B50" s="359" t="s">
        <v>53</v>
      </c>
      <c r="C50" s="360"/>
      <c r="D50" s="361"/>
      <c r="E50" s="13">
        <v>0</v>
      </c>
      <c r="F50" s="108">
        <f>0+E50</f>
        <v>0</v>
      </c>
      <c r="G50" s="13"/>
      <c r="H50" s="13"/>
      <c r="I50" s="13"/>
      <c r="J50" s="20"/>
      <c r="K50" s="15">
        <f t="shared" si="5"/>
        <v>0</v>
      </c>
      <c r="L50" s="15">
        <f t="shared" si="6"/>
        <v>0</v>
      </c>
      <c r="M50" s="119">
        <f t="shared" si="4"/>
        <v>0</v>
      </c>
      <c r="N50" s="121">
        <f t="shared" si="4"/>
        <v>0</v>
      </c>
      <c r="O50" s="31">
        <v>0</v>
      </c>
      <c r="P50" s="123">
        <v>0</v>
      </c>
      <c r="Q50" s="1"/>
      <c r="R50" s="1"/>
    </row>
    <row r="51" spans="1:18" ht="33.75" customHeight="1" thickBot="1">
      <c r="A51" s="22" t="s">
        <v>54</v>
      </c>
      <c r="B51" s="425" t="s">
        <v>55</v>
      </c>
      <c r="C51" s="323"/>
      <c r="D51" s="324"/>
      <c r="E51" s="23">
        <v>0</v>
      </c>
      <c r="F51" s="23">
        <v>0</v>
      </c>
      <c r="G51" s="23"/>
      <c r="H51" s="23"/>
      <c r="I51" s="23"/>
      <c r="J51" s="20"/>
      <c r="K51" s="15">
        <f t="shared" si="5"/>
        <v>0</v>
      </c>
      <c r="L51" s="15">
        <f t="shared" si="6"/>
        <v>0</v>
      </c>
      <c r="M51" s="119">
        <f t="shared" si="4"/>
        <v>0</v>
      </c>
      <c r="N51" s="121">
        <f t="shared" si="4"/>
        <v>0</v>
      </c>
      <c r="O51" s="31">
        <v>0</v>
      </c>
      <c r="P51" s="123">
        <v>0</v>
      </c>
      <c r="Q51" s="1"/>
      <c r="R51" s="1"/>
    </row>
    <row r="52" spans="1:18" ht="15.75" thickBot="1">
      <c r="A52" s="29" t="s">
        <v>164</v>
      </c>
      <c r="B52" s="340" t="s">
        <v>152</v>
      </c>
      <c r="C52" s="341"/>
      <c r="D52" s="342"/>
      <c r="E52" s="23"/>
      <c r="F52" s="23"/>
      <c r="G52" s="23"/>
      <c r="H52" s="23"/>
      <c r="I52" s="23"/>
      <c r="J52" s="20"/>
      <c r="K52" s="15">
        <f t="shared" si="5"/>
        <v>0</v>
      </c>
      <c r="L52" s="15">
        <f t="shared" si="6"/>
        <v>0</v>
      </c>
      <c r="M52" s="119">
        <f t="shared" si="4"/>
        <v>0</v>
      </c>
      <c r="N52" s="121">
        <f t="shared" si="4"/>
        <v>0</v>
      </c>
      <c r="O52" s="31">
        <v>0</v>
      </c>
      <c r="P52" s="123">
        <v>0</v>
      </c>
      <c r="Q52" s="1"/>
      <c r="R52" s="1"/>
    </row>
    <row r="53" spans="1:18" ht="15.75" thickBot="1">
      <c r="A53" s="29" t="s">
        <v>165</v>
      </c>
      <c r="B53" s="96" t="s">
        <v>154</v>
      </c>
      <c r="C53" s="97"/>
      <c r="D53" s="97"/>
      <c r="E53" s="23"/>
      <c r="F53" s="23"/>
      <c r="G53" s="23"/>
      <c r="H53" s="23"/>
      <c r="I53" s="23"/>
      <c r="J53" s="20"/>
      <c r="K53" s="15">
        <f t="shared" si="5"/>
        <v>0</v>
      </c>
      <c r="L53" s="15">
        <f t="shared" si="6"/>
        <v>0</v>
      </c>
      <c r="M53" s="119">
        <f t="shared" si="4"/>
        <v>0</v>
      </c>
      <c r="N53" s="121">
        <f t="shared" si="4"/>
        <v>0</v>
      </c>
      <c r="O53" s="31">
        <v>0</v>
      </c>
      <c r="P53" s="123">
        <v>0</v>
      </c>
      <c r="Q53" s="1"/>
      <c r="R53" s="1"/>
    </row>
    <row r="54" spans="1:18" ht="50.25" customHeight="1" thickBot="1">
      <c r="A54" s="22" t="s">
        <v>56</v>
      </c>
      <c r="B54" s="395" t="s">
        <v>57</v>
      </c>
      <c r="C54" s="396"/>
      <c r="D54" s="397"/>
      <c r="E54" s="81">
        <f>SUM(E59:E63)</f>
        <v>285600</v>
      </c>
      <c r="F54" s="114">
        <f>296300+E54</f>
        <v>581900</v>
      </c>
      <c r="G54" s="23">
        <f>G55+G56+G57+G58</f>
        <v>354455.01</v>
      </c>
      <c r="H54" s="23"/>
      <c r="I54" s="23"/>
      <c r="J54" s="23">
        <f>J55+J56+J57+J58</f>
        <v>0</v>
      </c>
      <c r="K54" s="23">
        <f>K55+K56+K57</f>
        <v>354455.01</v>
      </c>
      <c r="L54" s="23">
        <f>213686.51+K54</f>
        <v>568141.52</v>
      </c>
      <c r="M54" s="120">
        <f t="shared" si="4"/>
        <v>-68855.01000000001</v>
      </c>
      <c r="N54" s="125">
        <f t="shared" si="4"/>
        <v>13758.479999999981</v>
      </c>
      <c r="O54" s="26">
        <v>0</v>
      </c>
      <c r="P54" s="27">
        <v>0</v>
      </c>
      <c r="Q54" s="1"/>
      <c r="R54" s="18"/>
    </row>
    <row r="55" spans="1:18" ht="20.25" customHeight="1" thickBot="1">
      <c r="A55" s="29" t="s">
        <v>166</v>
      </c>
      <c r="B55" s="390" t="s">
        <v>152</v>
      </c>
      <c r="C55" s="391"/>
      <c r="D55" s="392"/>
      <c r="E55" s="113">
        <f>E59+E60+E62+E63-E58</f>
        <v>275300</v>
      </c>
      <c r="F55" s="108">
        <f>286000+E55</f>
        <v>561300</v>
      </c>
      <c r="G55" s="15">
        <f>G59+G60+G62+G63</f>
        <v>354455.01</v>
      </c>
      <c r="H55" s="23"/>
      <c r="I55" s="23"/>
      <c r="J55" s="15"/>
      <c r="K55" s="15">
        <f>0+G55</f>
        <v>354455.01</v>
      </c>
      <c r="L55" s="15">
        <f>201996.77+K55</f>
        <v>556451.78</v>
      </c>
      <c r="M55" s="119">
        <f t="shared" si="4"/>
        <v>-79155.01000000001</v>
      </c>
      <c r="N55" s="121">
        <f t="shared" si="4"/>
        <v>4848.219999999972</v>
      </c>
      <c r="O55" s="31">
        <v>0</v>
      </c>
      <c r="P55" s="123">
        <v>0</v>
      </c>
      <c r="Q55" s="1"/>
      <c r="R55" s="18"/>
    </row>
    <row r="56" spans="1:18" ht="30" customHeight="1" thickBot="1">
      <c r="A56" s="29" t="s">
        <v>167</v>
      </c>
      <c r="B56" s="430" t="s">
        <v>168</v>
      </c>
      <c r="C56" s="431"/>
      <c r="D56" s="432"/>
      <c r="E56" s="112"/>
      <c r="F56" s="108"/>
      <c r="G56" s="23"/>
      <c r="H56" s="23"/>
      <c r="I56" s="23"/>
      <c r="J56" s="23"/>
      <c r="K56" s="15">
        <f aca="true" t="shared" si="7" ref="K56:K61">0+G56</f>
        <v>0</v>
      </c>
      <c r="L56" s="15">
        <f t="shared" si="6"/>
        <v>0</v>
      </c>
      <c r="M56" s="119">
        <f aca="true" t="shared" si="8" ref="M56:N71">E56-K56</f>
        <v>0</v>
      </c>
      <c r="N56" s="121">
        <f t="shared" si="8"/>
        <v>0</v>
      </c>
      <c r="O56" s="31">
        <v>0</v>
      </c>
      <c r="P56" s="123">
        <v>0</v>
      </c>
      <c r="Q56" s="1"/>
      <c r="R56" s="18"/>
    </row>
    <row r="57" spans="1:18" ht="20.25" customHeight="1" thickBot="1">
      <c r="A57" s="29" t="s">
        <v>203</v>
      </c>
      <c r="B57" s="503" t="s">
        <v>154</v>
      </c>
      <c r="C57" s="504"/>
      <c r="D57" s="504"/>
      <c r="E57" s="127"/>
      <c r="F57" s="108"/>
      <c r="G57" s="23"/>
      <c r="H57" s="23"/>
      <c r="I57" s="23"/>
      <c r="J57" s="23"/>
      <c r="K57" s="15">
        <f t="shared" si="7"/>
        <v>0</v>
      </c>
      <c r="L57" s="15">
        <f t="shared" si="6"/>
        <v>0</v>
      </c>
      <c r="M57" s="119">
        <f t="shared" si="8"/>
        <v>0</v>
      </c>
      <c r="N57" s="121">
        <f t="shared" si="8"/>
        <v>0</v>
      </c>
      <c r="O57" s="31">
        <v>0</v>
      </c>
      <c r="P57" s="123">
        <v>0</v>
      </c>
      <c r="Q57" s="1"/>
      <c r="R57" s="18"/>
    </row>
    <row r="58" spans="1:18" ht="18" customHeight="1" thickBot="1">
      <c r="A58" s="29" t="s">
        <v>204</v>
      </c>
      <c r="B58" s="497" t="s">
        <v>201</v>
      </c>
      <c r="C58" s="498"/>
      <c r="D58" s="499"/>
      <c r="E58" s="112">
        <v>10300</v>
      </c>
      <c r="F58" s="108">
        <f>10300+E58</f>
        <v>20600</v>
      </c>
      <c r="G58" s="15"/>
      <c r="H58" s="23"/>
      <c r="I58" s="23"/>
      <c r="J58" s="15">
        <f>J62+J63</f>
        <v>0</v>
      </c>
      <c r="K58" s="15">
        <f>0+J58</f>
        <v>0</v>
      </c>
      <c r="L58" s="15">
        <f>11689.74+K58</f>
        <v>11689.74</v>
      </c>
      <c r="M58" s="119">
        <f t="shared" si="8"/>
        <v>10300</v>
      </c>
      <c r="N58" s="121">
        <f t="shared" si="8"/>
        <v>8910.26</v>
      </c>
      <c r="O58" s="31">
        <v>0</v>
      </c>
      <c r="P58" s="123">
        <v>0</v>
      </c>
      <c r="Q58" s="1"/>
      <c r="R58" s="18">
        <f>L59+L60+L61+L62+L63</f>
        <v>568141.52</v>
      </c>
    </row>
    <row r="59" spans="1:18" ht="21.75" customHeight="1" thickBot="1">
      <c r="A59" s="29" t="s">
        <v>58</v>
      </c>
      <c r="B59" s="419" t="s">
        <v>59</v>
      </c>
      <c r="C59" s="420"/>
      <c r="D59" s="421"/>
      <c r="E59" s="108">
        <v>60000</v>
      </c>
      <c r="F59" s="108">
        <f>60000+E59</f>
        <v>120000</v>
      </c>
      <c r="G59" s="13">
        <v>118462.1</v>
      </c>
      <c r="H59" s="13"/>
      <c r="I59" s="13"/>
      <c r="J59" s="15"/>
      <c r="K59" s="15">
        <f t="shared" si="7"/>
        <v>118462.1</v>
      </c>
      <c r="L59" s="15">
        <f>0+K59</f>
        <v>118462.1</v>
      </c>
      <c r="M59" s="119">
        <f t="shared" si="8"/>
        <v>-58462.100000000006</v>
      </c>
      <c r="N59" s="121">
        <f t="shared" si="8"/>
        <v>1537.8999999999942</v>
      </c>
      <c r="O59" s="31">
        <v>0</v>
      </c>
      <c r="P59" s="123">
        <v>0</v>
      </c>
      <c r="Q59" s="1"/>
      <c r="R59" s="1"/>
    </row>
    <row r="60" spans="1:18" ht="20.25" customHeight="1" thickBot="1">
      <c r="A60" s="29" t="s">
        <v>60</v>
      </c>
      <c r="B60" s="387" t="s">
        <v>61</v>
      </c>
      <c r="C60" s="388"/>
      <c r="D60" s="388"/>
      <c r="E60" s="108">
        <v>215000</v>
      </c>
      <c r="F60" s="108">
        <f>232000+E60</f>
        <v>447000</v>
      </c>
      <c r="G60" s="13">
        <v>231863.39</v>
      </c>
      <c r="H60" s="13"/>
      <c r="I60" s="13"/>
      <c r="J60" s="15"/>
      <c r="K60" s="15">
        <f t="shared" si="7"/>
        <v>231863.39</v>
      </c>
      <c r="L60" s="15">
        <f>201996.77+K60</f>
        <v>433860.16000000003</v>
      </c>
      <c r="M60" s="119">
        <f t="shared" si="8"/>
        <v>-16863.390000000014</v>
      </c>
      <c r="N60" s="121">
        <f t="shared" si="8"/>
        <v>13139.839999999967</v>
      </c>
      <c r="O60" s="31">
        <v>0</v>
      </c>
      <c r="P60" s="123">
        <v>0</v>
      </c>
      <c r="Q60" s="1"/>
      <c r="R60" s="18"/>
    </row>
    <row r="61" spans="1:18" ht="21.75" customHeight="1" thickBot="1">
      <c r="A61" s="29" t="s">
        <v>60</v>
      </c>
      <c r="B61" s="422" t="s">
        <v>205</v>
      </c>
      <c r="C61" s="423"/>
      <c r="D61" s="424"/>
      <c r="E61" s="108"/>
      <c r="F61" s="108"/>
      <c r="G61" s="13"/>
      <c r="H61" s="13"/>
      <c r="I61" s="13"/>
      <c r="J61" s="15"/>
      <c r="K61" s="15">
        <f t="shared" si="7"/>
        <v>0</v>
      </c>
      <c r="L61" s="15">
        <f t="shared" si="6"/>
        <v>0</v>
      </c>
      <c r="M61" s="119">
        <f t="shared" si="8"/>
        <v>0</v>
      </c>
      <c r="N61" s="121">
        <f t="shared" si="8"/>
        <v>0</v>
      </c>
      <c r="O61" s="31">
        <v>0</v>
      </c>
      <c r="P61" s="123">
        <v>0</v>
      </c>
      <c r="Q61" s="1"/>
      <c r="R61" s="1"/>
    </row>
    <row r="62" spans="1:18" ht="18.75" customHeight="1" thickBot="1">
      <c r="A62" s="29" t="s">
        <v>62</v>
      </c>
      <c r="B62" s="387" t="s">
        <v>63</v>
      </c>
      <c r="C62" s="388"/>
      <c r="D62" s="389"/>
      <c r="E62" s="108">
        <v>5600</v>
      </c>
      <c r="F62" s="108">
        <f>2300+E62</f>
        <v>7900</v>
      </c>
      <c r="G62" s="131">
        <v>2210.49</v>
      </c>
      <c r="H62" s="60"/>
      <c r="I62" s="13"/>
      <c r="J62" s="13"/>
      <c r="K62" s="15">
        <f>0+J62+G62</f>
        <v>2210.49</v>
      </c>
      <c r="L62" s="15">
        <f>6257.4+K62</f>
        <v>8467.89</v>
      </c>
      <c r="M62" s="119">
        <f t="shared" si="8"/>
        <v>3389.51</v>
      </c>
      <c r="N62" s="121">
        <f t="shared" si="8"/>
        <v>-567.8899999999994</v>
      </c>
      <c r="O62" s="31">
        <v>0</v>
      </c>
      <c r="P62" s="123">
        <v>0</v>
      </c>
      <c r="Q62" s="1"/>
      <c r="R62" s="1"/>
    </row>
    <row r="63" spans="1:18" ht="19.5" customHeight="1" thickBot="1">
      <c r="A63" s="29" t="s">
        <v>64</v>
      </c>
      <c r="B63" s="387" t="s">
        <v>65</v>
      </c>
      <c r="C63" s="388"/>
      <c r="D63" s="389"/>
      <c r="E63" s="108">
        <v>5000</v>
      </c>
      <c r="F63" s="108">
        <f>2000+E63</f>
        <v>7000</v>
      </c>
      <c r="G63">
        <v>1919.03</v>
      </c>
      <c r="H63" s="13"/>
      <c r="I63" s="13"/>
      <c r="J63" s="13"/>
      <c r="K63" s="15">
        <f>0+J63+G63</f>
        <v>1919.03</v>
      </c>
      <c r="L63" s="15">
        <f>5432.34+K63</f>
        <v>7351.37</v>
      </c>
      <c r="M63" s="119">
        <f t="shared" si="8"/>
        <v>3080.9700000000003</v>
      </c>
      <c r="N63" s="121">
        <f t="shared" si="8"/>
        <v>-351.3699999999999</v>
      </c>
      <c r="O63" s="31">
        <v>0</v>
      </c>
      <c r="P63" s="123">
        <v>0</v>
      </c>
      <c r="Q63" s="1"/>
      <c r="R63" s="1"/>
    </row>
    <row r="64" spans="1:18" ht="42" customHeight="1" thickBot="1">
      <c r="A64" s="128" t="s">
        <v>66</v>
      </c>
      <c r="B64" s="395" t="s">
        <v>206</v>
      </c>
      <c r="C64" s="396"/>
      <c r="D64" s="397"/>
      <c r="E64" s="81">
        <f>E65</f>
        <v>25000</v>
      </c>
      <c r="F64" s="114">
        <f>F65+F66</f>
        <v>227000</v>
      </c>
      <c r="G64" s="32">
        <f>G65+G66</f>
        <v>533</v>
      </c>
      <c r="H64" s="23"/>
      <c r="I64" s="23"/>
      <c r="J64" s="23">
        <f>J65+J66</f>
        <v>0</v>
      </c>
      <c r="K64" s="23">
        <f>K65+K66</f>
        <v>533</v>
      </c>
      <c r="L64" s="23">
        <f>17365+K64</f>
        <v>17898</v>
      </c>
      <c r="M64" s="120">
        <f t="shared" si="8"/>
        <v>24467</v>
      </c>
      <c r="N64" s="125">
        <f t="shared" si="8"/>
        <v>209102</v>
      </c>
      <c r="O64" s="26">
        <v>0</v>
      </c>
      <c r="P64" s="27">
        <v>0</v>
      </c>
      <c r="Q64" s="1"/>
      <c r="R64" s="1"/>
    </row>
    <row r="65" spans="1:18" ht="20.25" customHeight="1" thickBot="1">
      <c r="A65" s="29" t="s">
        <v>207</v>
      </c>
      <c r="B65" s="390" t="s">
        <v>152</v>
      </c>
      <c r="C65" s="391"/>
      <c r="D65" s="392"/>
      <c r="E65" s="82">
        <v>25000</v>
      </c>
      <c r="F65" s="108">
        <f>202000+E65</f>
        <v>227000</v>
      </c>
      <c r="G65" s="13">
        <v>533</v>
      </c>
      <c r="H65" s="23"/>
      <c r="I65" s="23"/>
      <c r="J65" s="15"/>
      <c r="K65" s="15">
        <f>0+G65</f>
        <v>533</v>
      </c>
      <c r="L65" s="15">
        <f>17365+K65</f>
        <v>17898</v>
      </c>
      <c r="M65" s="119">
        <f t="shared" si="8"/>
        <v>24467</v>
      </c>
      <c r="N65" s="124">
        <f t="shared" si="8"/>
        <v>209102</v>
      </c>
      <c r="O65" s="31">
        <v>0</v>
      </c>
      <c r="P65" s="123">
        <v>0</v>
      </c>
      <c r="Q65" s="1"/>
      <c r="R65" s="1"/>
    </row>
    <row r="66" spans="1:18" ht="28.5" customHeight="1" thickBot="1">
      <c r="A66" s="29" t="s">
        <v>208</v>
      </c>
      <c r="B66" s="340" t="s">
        <v>171</v>
      </c>
      <c r="C66" s="341"/>
      <c r="D66" s="342"/>
      <c r="E66" s="81"/>
      <c r="F66" s="108"/>
      <c r="G66" s="32"/>
      <c r="H66" s="23"/>
      <c r="I66" s="23"/>
      <c r="J66" s="23"/>
      <c r="K66" s="15">
        <f>0+G66</f>
        <v>0</v>
      </c>
      <c r="L66" s="15">
        <f t="shared" si="6"/>
        <v>0</v>
      </c>
      <c r="M66" s="119">
        <f t="shared" si="8"/>
        <v>0</v>
      </c>
      <c r="N66" s="124">
        <f t="shared" si="8"/>
        <v>0</v>
      </c>
      <c r="O66" s="31">
        <v>0</v>
      </c>
      <c r="P66" s="123">
        <v>0</v>
      </c>
      <c r="Q66" s="1"/>
      <c r="R66" s="1"/>
    </row>
    <row r="67" spans="1:18" ht="27" customHeight="1" thickBot="1">
      <c r="A67" s="128" t="s">
        <v>67</v>
      </c>
      <c r="B67" s="505" t="s">
        <v>68</v>
      </c>
      <c r="C67" s="506"/>
      <c r="D67" s="507"/>
      <c r="E67" s="81">
        <v>0</v>
      </c>
      <c r="F67" s="114">
        <f>15000+E67</f>
        <v>15000</v>
      </c>
      <c r="G67" s="32"/>
      <c r="H67" s="23"/>
      <c r="I67" s="15"/>
      <c r="J67" s="23"/>
      <c r="K67" s="23">
        <f aca="true" t="shared" si="9" ref="K67:L70">0+J67</f>
        <v>0</v>
      </c>
      <c r="L67" s="23">
        <f t="shared" si="9"/>
        <v>0</v>
      </c>
      <c r="M67" s="120">
        <f t="shared" si="8"/>
        <v>0</v>
      </c>
      <c r="N67" s="125">
        <f t="shared" si="8"/>
        <v>15000</v>
      </c>
      <c r="O67" s="26">
        <v>0</v>
      </c>
      <c r="P67" s="27">
        <v>0</v>
      </c>
      <c r="Q67" s="1"/>
      <c r="R67" s="18"/>
    </row>
    <row r="68" spans="1:18" ht="17.25" customHeight="1" thickBot="1">
      <c r="A68" s="29" t="s">
        <v>169</v>
      </c>
      <c r="B68" s="390" t="s">
        <v>152</v>
      </c>
      <c r="C68" s="391"/>
      <c r="D68" s="392"/>
      <c r="E68" s="112"/>
      <c r="F68" s="108">
        <f>15000+E68</f>
        <v>15000</v>
      </c>
      <c r="G68" s="32"/>
      <c r="H68" s="23"/>
      <c r="I68" s="15"/>
      <c r="J68" s="23"/>
      <c r="K68" s="15">
        <f t="shared" si="9"/>
        <v>0</v>
      </c>
      <c r="L68" s="15">
        <f t="shared" si="9"/>
        <v>0</v>
      </c>
      <c r="M68" s="119">
        <f t="shared" si="8"/>
        <v>0</v>
      </c>
      <c r="N68" s="124">
        <f t="shared" si="8"/>
        <v>15000</v>
      </c>
      <c r="O68" s="31">
        <v>0</v>
      </c>
      <c r="P68" s="123">
        <v>0</v>
      </c>
      <c r="Q68" s="1"/>
      <c r="R68" s="18"/>
    </row>
    <row r="69" spans="1:18" ht="28.5" customHeight="1" thickBot="1">
      <c r="A69" s="29" t="s">
        <v>170</v>
      </c>
      <c r="B69" s="340" t="s">
        <v>171</v>
      </c>
      <c r="C69" s="341"/>
      <c r="D69" s="342"/>
      <c r="E69" s="112"/>
      <c r="F69" s="108"/>
      <c r="G69" s="32"/>
      <c r="H69" s="23"/>
      <c r="I69" s="15"/>
      <c r="J69" s="23"/>
      <c r="K69" s="15">
        <f t="shared" si="9"/>
        <v>0</v>
      </c>
      <c r="L69" s="15">
        <f t="shared" si="9"/>
        <v>0</v>
      </c>
      <c r="M69" s="119">
        <f t="shared" si="8"/>
        <v>0</v>
      </c>
      <c r="N69" s="124">
        <f t="shared" si="8"/>
        <v>0</v>
      </c>
      <c r="O69" s="31">
        <v>0</v>
      </c>
      <c r="P69" s="123">
        <v>0</v>
      </c>
      <c r="Q69" s="1"/>
      <c r="R69" s="18"/>
    </row>
    <row r="70" spans="1:18" ht="18.75" customHeight="1" thickBot="1">
      <c r="A70" s="29" t="s">
        <v>172</v>
      </c>
      <c r="B70" s="340" t="s">
        <v>154</v>
      </c>
      <c r="C70" s="341"/>
      <c r="D70" s="342"/>
      <c r="E70" s="113"/>
      <c r="F70" s="108"/>
      <c r="G70" s="32"/>
      <c r="H70" s="23"/>
      <c r="I70" s="15"/>
      <c r="J70" s="23"/>
      <c r="K70" s="15">
        <f t="shared" si="9"/>
        <v>0</v>
      </c>
      <c r="L70" s="15">
        <f t="shared" si="9"/>
        <v>0</v>
      </c>
      <c r="M70" s="119">
        <f t="shared" si="8"/>
        <v>0</v>
      </c>
      <c r="N70" s="124">
        <f t="shared" si="8"/>
        <v>0</v>
      </c>
      <c r="O70" s="31">
        <v>0</v>
      </c>
      <c r="P70" s="123">
        <v>0</v>
      </c>
      <c r="Q70" s="1"/>
      <c r="R70" s="18"/>
    </row>
    <row r="71" spans="1:18" ht="23.25" customHeight="1" thickBot="1">
      <c r="A71" s="30" t="s">
        <v>69</v>
      </c>
      <c r="B71" s="508" t="s">
        <v>70</v>
      </c>
      <c r="C71" s="509"/>
      <c r="D71" s="510"/>
      <c r="E71" s="81">
        <v>3000</v>
      </c>
      <c r="F71" s="114">
        <f>3000+E71</f>
        <v>6000</v>
      </c>
      <c r="G71" s="32">
        <f>G72+G73</f>
        <v>697</v>
      </c>
      <c r="H71" s="23"/>
      <c r="I71" s="23"/>
      <c r="J71" s="23"/>
      <c r="K71" s="23">
        <f>G71</f>
        <v>697</v>
      </c>
      <c r="L71" s="23">
        <f>9085+K71</f>
        <v>9782</v>
      </c>
      <c r="M71" s="120">
        <f t="shared" si="8"/>
        <v>2303</v>
      </c>
      <c r="N71" s="125">
        <f t="shared" si="8"/>
        <v>-3782</v>
      </c>
      <c r="O71" s="26">
        <v>0</v>
      </c>
      <c r="P71" s="27">
        <v>0</v>
      </c>
      <c r="Q71" s="1"/>
      <c r="R71" s="1"/>
    </row>
    <row r="72" spans="1:18" ht="18.75" customHeight="1" thickBot="1">
      <c r="A72" s="29" t="s">
        <v>169</v>
      </c>
      <c r="B72" s="96" t="s">
        <v>152</v>
      </c>
      <c r="C72" s="97"/>
      <c r="D72" s="98"/>
      <c r="E72" s="112">
        <v>3000</v>
      </c>
      <c r="F72" s="108">
        <f>3000+E72</f>
        <v>6000</v>
      </c>
      <c r="G72" s="13">
        <v>697</v>
      </c>
      <c r="H72" s="23"/>
      <c r="I72" s="23"/>
      <c r="J72" s="15"/>
      <c r="K72" s="15">
        <f>G72</f>
        <v>697</v>
      </c>
      <c r="L72" s="15">
        <f>9085+K72</f>
        <v>9782</v>
      </c>
      <c r="M72" s="119">
        <f aca="true" t="shared" si="10" ref="M72:N82">E72-K72</f>
        <v>2303</v>
      </c>
      <c r="N72" s="124">
        <f t="shared" si="10"/>
        <v>-3782</v>
      </c>
      <c r="O72" s="31">
        <v>0</v>
      </c>
      <c r="P72" s="123">
        <v>0</v>
      </c>
      <c r="Q72" s="1"/>
      <c r="R72" s="1"/>
    </row>
    <row r="73" spans="1:18" ht="20.25" customHeight="1" thickBot="1">
      <c r="A73" s="29" t="s">
        <v>172</v>
      </c>
      <c r="B73" s="340" t="s">
        <v>154</v>
      </c>
      <c r="C73" s="341"/>
      <c r="D73" s="342"/>
      <c r="E73" s="113"/>
      <c r="F73" s="108"/>
      <c r="G73" s="32"/>
      <c r="H73" s="23"/>
      <c r="I73" s="23"/>
      <c r="J73" s="15"/>
      <c r="K73" s="15">
        <f>0+J73</f>
        <v>0</v>
      </c>
      <c r="L73" s="15">
        <f>0+K73</f>
        <v>0</v>
      </c>
      <c r="M73" s="119">
        <f t="shared" si="10"/>
        <v>0</v>
      </c>
      <c r="N73" s="124">
        <f t="shared" si="10"/>
        <v>0</v>
      </c>
      <c r="O73" s="31">
        <v>0</v>
      </c>
      <c r="P73" s="123">
        <v>0</v>
      </c>
      <c r="Q73" s="1"/>
      <c r="R73" s="1"/>
    </row>
    <row r="74" spans="1:18" ht="40.5" customHeight="1" thickBot="1">
      <c r="A74" s="30" t="s">
        <v>71</v>
      </c>
      <c r="B74" s="508" t="s">
        <v>72</v>
      </c>
      <c r="C74" s="509"/>
      <c r="D74" s="510"/>
      <c r="E74" s="81">
        <v>60000</v>
      </c>
      <c r="F74" s="114">
        <f>65000+E74</f>
        <v>125000</v>
      </c>
      <c r="G74" s="32">
        <f>G75+G76+G77</f>
        <v>6009.1</v>
      </c>
      <c r="H74" s="23"/>
      <c r="I74" s="23"/>
      <c r="J74" s="23"/>
      <c r="K74" s="23">
        <f>K75+K76+K77</f>
        <v>6009.1</v>
      </c>
      <c r="L74" s="23">
        <f>8930+K74</f>
        <v>14939.1</v>
      </c>
      <c r="M74" s="120">
        <f t="shared" si="10"/>
        <v>53990.9</v>
      </c>
      <c r="N74" s="125">
        <f t="shared" si="10"/>
        <v>110060.9</v>
      </c>
      <c r="O74" s="26">
        <v>0</v>
      </c>
      <c r="P74" s="27">
        <v>0</v>
      </c>
      <c r="Q74" s="1"/>
      <c r="R74" s="1"/>
    </row>
    <row r="75" spans="1:18" ht="29.25" customHeight="1" thickBot="1">
      <c r="A75" s="29" t="s">
        <v>173</v>
      </c>
      <c r="B75" s="340" t="s">
        <v>152</v>
      </c>
      <c r="C75" s="341"/>
      <c r="D75" s="342"/>
      <c r="E75" s="112">
        <v>60000</v>
      </c>
      <c r="F75" s="108">
        <f>65000+E75</f>
        <v>125000</v>
      </c>
      <c r="G75" s="13">
        <v>6009.1</v>
      </c>
      <c r="H75" s="23"/>
      <c r="I75" s="23"/>
      <c r="J75" s="15"/>
      <c r="K75" s="15">
        <f>G75</f>
        <v>6009.1</v>
      </c>
      <c r="L75" s="15">
        <f>8930+K75</f>
        <v>14939.1</v>
      </c>
      <c r="M75" s="119">
        <f t="shared" si="10"/>
        <v>53990.9</v>
      </c>
      <c r="N75" s="124">
        <f t="shared" si="10"/>
        <v>110060.9</v>
      </c>
      <c r="O75" s="31">
        <v>0</v>
      </c>
      <c r="P75" s="123">
        <v>0</v>
      </c>
      <c r="Q75" s="1"/>
      <c r="R75" s="1"/>
    </row>
    <row r="76" spans="1:18" ht="30.75" customHeight="1" thickBot="1">
      <c r="A76" s="29" t="s">
        <v>174</v>
      </c>
      <c r="B76" s="340" t="s">
        <v>171</v>
      </c>
      <c r="C76" s="341"/>
      <c r="D76" s="342"/>
      <c r="E76" s="113"/>
      <c r="F76" s="108"/>
      <c r="G76" s="32"/>
      <c r="H76" s="23"/>
      <c r="I76" s="23"/>
      <c r="J76" s="15"/>
      <c r="K76" s="15">
        <f aca="true" t="shared" si="11" ref="K76:L82">0+J76</f>
        <v>0</v>
      </c>
      <c r="L76" s="15">
        <f t="shared" si="11"/>
        <v>0</v>
      </c>
      <c r="M76" s="119">
        <f t="shared" si="10"/>
        <v>0</v>
      </c>
      <c r="N76" s="124">
        <f t="shared" si="10"/>
        <v>0</v>
      </c>
      <c r="O76" s="31">
        <v>0</v>
      </c>
      <c r="P76" s="123">
        <v>0</v>
      </c>
      <c r="Q76" s="1"/>
      <c r="R76" s="1"/>
    </row>
    <row r="77" spans="1:18" ht="19.5" customHeight="1" thickBot="1">
      <c r="A77" s="29" t="s">
        <v>175</v>
      </c>
      <c r="B77" s="96" t="s">
        <v>154</v>
      </c>
      <c r="C77" s="97"/>
      <c r="D77" s="98"/>
      <c r="E77" s="112"/>
      <c r="F77" s="108"/>
      <c r="G77" s="32"/>
      <c r="H77" s="23"/>
      <c r="I77" s="23"/>
      <c r="J77" s="15"/>
      <c r="K77" s="15">
        <f t="shared" si="11"/>
        <v>0</v>
      </c>
      <c r="L77" s="15">
        <f t="shared" si="11"/>
        <v>0</v>
      </c>
      <c r="M77" s="119">
        <f t="shared" si="10"/>
        <v>0</v>
      </c>
      <c r="N77" s="124">
        <f t="shared" si="10"/>
        <v>0</v>
      </c>
      <c r="O77" s="31">
        <v>0</v>
      </c>
      <c r="P77" s="123">
        <v>0</v>
      </c>
      <c r="Q77" s="1"/>
      <c r="R77" s="1"/>
    </row>
    <row r="78" spans="1:18" ht="44.25" customHeight="1" thickBot="1">
      <c r="A78" s="128" t="s">
        <v>73</v>
      </c>
      <c r="B78" s="395" t="s">
        <v>74</v>
      </c>
      <c r="C78" s="396"/>
      <c r="D78" s="397"/>
      <c r="E78" s="81">
        <v>0</v>
      </c>
      <c r="F78" s="114">
        <f>500+E78</f>
        <v>500</v>
      </c>
      <c r="G78" s="32"/>
      <c r="H78" s="23"/>
      <c r="I78" s="23"/>
      <c r="J78" s="23"/>
      <c r="K78" s="23">
        <f t="shared" si="11"/>
        <v>0</v>
      </c>
      <c r="L78" s="23">
        <f t="shared" si="11"/>
        <v>0</v>
      </c>
      <c r="M78" s="120">
        <f t="shared" si="10"/>
        <v>0</v>
      </c>
      <c r="N78" s="125">
        <f t="shared" si="10"/>
        <v>500</v>
      </c>
      <c r="O78" s="26">
        <v>0</v>
      </c>
      <c r="P78" s="27">
        <v>0</v>
      </c>
      <c r="Q78" s="1"/>
      <c r="R78" s="1"/>
    </row>
    <row r="79" spans="1:18" ht="17.25" customHeight="1" thickBot="1">
      <c r="A79" s="22" t="s">
        <v>176</v>
      </c>
      <c r="B79" s="96" t="s">
        <v>152</v>
      </c>
      <c r="C79" s="97"/>
      <c r="D79" s="98"/>
      <c r="E79" s="113"/>
      <c r="F79" s="108">
        <f>500+E79</f>
        <v>500</v>
      </c>
      <c r="G79" s="32"/>
      <c r="H79" s="23"/>
      <c r="I79" s="23"/>
      <c r="J79" s="23"/>
      <c r="K79" s="15">
        <f t="shared" si="11"/>
        <v>0</v>
      </c>
      <c r="L79" s="15">
        <f t="shared" si="11"/>
        <v>0</v>
      </c>
      <c r="M79" s="119">
        <f t="shared" si="10"/>
        <v>0</v>
      </c>
      <c r="N79" s="124">
        <f t="shared" si="10"/>
        <v>500</v>
      </c>
      <c r="O79" s="31">
        <v>0</v>
      </c>
      <c r="P79" s="123">
        <v>0</v>
      </c>
      <c r="Q79" s="1"/>
      <c r="R79" s="1"/>
    </row>
    <row r="80" spans="1:18" ht="28.5" customHeight="1" thickBot="1">
      <c r="A80" s="128" t="s">
        <v>75</v>
      </c>
      <c r="B80" s="395" t="s">
        <v>76</v>
      </c>
      <c r="C80" s="396"/>
      <c r="D80" s="397"/>
      <c r="E80" s="81"/>
      <c r="F80" s="23"/>
      <c r="G80" s="32"/>
      <c r="H80" s="23"/>
      <c r="I80" s="23"/>
      <c r="J80" s="23"/>
      <c r="K80" s="23">
        <f t="shared" si="11"/>
        <v>0</v>
      </c>
      <c r="L80" s="23">
        <f t="shared" si="11"/>
        <v>0</v>
      </c>
      <c r="M80" s="120">
        <f t="shared" si="10"/>
        <v>0</v>
      </c>
      <c r="N80" s="125">
        <f t="shared" si="10"/>
        <v>0</v>
      </c>
      <c r="O80" s="26">
        <v>0</v>
      </c>
      <c r="P80" s="27">
        <v>0</v>
      </c>
      <c r="Q80" s="1"/>
      <c r="R80" s="1"/>
    </row>
    <row r="81" spans="1:18" ht="19.5" customHeight="1" thickBot="1">
      <c r="A81" s="29" t="s">
        <v>177</v>
      </c>
      <c r="B81" s="390" t="s">
        <v>152</v>
      </c>
      <c r="C81" s="391"/>
      <c r="D81" s="392"/>
      <c r="E81" s="113"/>
      <c r="F81" s="117"/>
      <c r="G81" s="118"/>
      <c r="H81" s="99"/>
      <c r="I81" s="93"/>
      <c r="J81" s="99"/>
      <c r="K81" s="15">
        <f t="shared" si="11"/>
        <v>0</v>
      </c>
      <c r="L81" s="15">
        <f t="shared" si="11"/>
        <v>0</v>
      </c>
      <c r="M81" s="119">
        <f t="shared" si="10"/>
        <v>0</v>
      </c>
      <c r="N81" s="124">
        <f t="shared" si="10"/>
        <v>0</v>
      </c>
      <c r="O81" s="31">
        <v>0</v>
      </c>
      <c r="P81" s="123">
        <v>0</v>
      </c>
      <c r="Q81" s="1"/>
      <c r="R81" s="1"/>
    </row>
    <row r="82" spans="1:18" ht="24" customHeight="1" thickBot="1">
      <c r="A82" s="29" t="s">
        <v>178</v>
      </c>
      <c r="B82" s="96" t="s">
        <v>154</v>
      </c>
      <c r="C82" s="97"/>
      <c r="D82" s="98"/>
      <c r="E82" s="113"/>
      <c r="F82" s="23"/>
      <c r="G82" s="32"/>
      <c r="H82" s="146"/>
      <c r="I82" s="15"/>
      <c r="J82" s="146"/>
      <c r="K82" s="15">
        <f t="shared" si="11"/>
        <v>0</v>
      </c>
      <c r="L82" s="15">
        <f t="shared" si="11"/>
        <v>0</v>
      </c>
      <c r="M82" s="119">
        <f t="shared" si="10"/>
        <v>0</v>
      </c>
      <c r="N82" s="124">
        <f t="shared" si="10"/>
        <v>0</v>
      </c>
      <c r="O82" s="31">
        <v>0</v>
      </c>
      <c r="P82" s="123">
        <v>0</v>
      </c>
      <c r="Q82" s="1"/>
      <c r="R82" s="1"/>
    </row>
    <row r="83" spans="1:18" ht="15">
      <c r="A83" s="411"/>
      <c r="B83" s="413" t="s">
        <v>30</v>
      </c>
      <c r="C83" s="414"/>
      <c r="D83" s="414"/>
      <c r="E83" s="414"/>
      <c r="F83" s="414"/>
      <c r="G83" s="414"/>
      <c r="H83" s="414"/>
      <c r="I83" s="414"/>
      <c r="J83" s="414"/>
      <c r="K83" s="414"/>
      <c r="L83" s="414"/>
      <c r="M83" s="414"/>
      <c r="N83" s="414"/>
      <c r="O83" s="414"/>
      <c r="P83" s="415"/>
      <c r="Q83" s="1"/>
      <c r="R83" s="1"/>
    </row>
    <row r="84" spans="1:18" ht="15.75" thickBot="1">
      <c r="A84" s="412"/>
      <c r="B84" s="416"/>
      <c r="C84" s="417"/>
      <c r="D84" s="417"/>
      <c r="E84" s="417"/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8"/>
      <c r="Q84" s="1"/>
      <c r="R84" s="1"/>
    </row>
    <row r="85" spans="1:18" ht="15.75" thickBot="1">
      <c r="A85" s="398"/>
      <c r="B85" s="400" t="s">
        <v>14</v>
      </c>
      <c r="C85" s="401"/>
      <c r="D85" s="402"/>
      <c r="E85" s="406" t="s">
        <v>24</v>
      </c>
      <c r="F85" s="408" t="s">
        <v>25</v>
      </c>
      <c r="G85" s="326" t="s">
        <v>31</v>
      </c>
      <c r="H85" s="410"/>
      <c r="I85" s="410"/>
      <c r="J85" s="410"/>
      <c r="K85" s="327"/>
      <c r="L85" s="393" t="s">
        <v>16</v>
      </c>
      <c r="M85" s="393" t="s">
        <v>17</v>
      </c>
      <c r="N85" s="393" t="s">
        <v>18</v>
      </c>
      <c r="O85" s="393" t="s">
        <v>19</v>
      </c>
      <c r="P85" s="393" t="s">
        <v>20</v>
      </c>
      <c r="Q85" s="1"/>
      <c r="R85" s="1"/>
    </row>
    <row r="86" spans="1:18" ht="104.25" customHeight="1" thickBot="1">
      <c r="A86" s="399"/>
      <c r="B86" s="403"/>
      <c r="C86" s="404"/>
      <c r="D86" s="405"/>
      <c r="E86" s="407"/>
      <c r="F86" s="409"/>
      <c r="G86" s="134" t="s">
        <v>32</v>
      </c>
      <c r="H86" s="134" t="s">
        <v>33</v>
      </c>
      <c r="I86" s="134" t="s">
        <v>34</v>
      </c>
      <c r="J86" s="5" t="s">
        <v>77</v>
      </c>
      <c r="K86" s="77" t="s">
        <v>27</v>
      </c>
      <c r="L86" s="394"/>
      <c r="M86" s="394"/>
      <c r="N86" s="394"/>
      <c r="O86" s="394"/>
      <c r="P86" s="394"/>
      <c r="Q86" s="1"/>
      <c r="R86" s="1"/>
    </row>
    <row r="87" spans="1:18" ht="15.75" thickBot="1">
      <c r="A87" s="29"/>
      <c r="B87" s="350">
        <v>1</v>
      </c>
      <c r="C87" s="351"/>
      <c r="D87" s="352"/>
      <c r="E87" s="7" t="s">
        <v>22</v>
      </c>
      <c r="F87" s="134">
        <v>3</v>
      </c>
      <c r="G87" s="134">
        <v>4</v>
      </c>
      <c r="H87" s="134">
        <v>5</v>
      </c>
      <c r="I87" s="5">
        <v>6</v>
      </c>
      <c r="J87" s="5">
        <v>7</v>
      </c>
      <c r="K87" s="89">
        <v>8</v>
      </c>
      <c r="L87" s="138">
        <v>9</v>
      </c>
      <c r="M87" s="5">
        <v>10</v>
      </c>
      <c r="N87" s="138">
        <v>11</v>
      </c>
      <c r="O87" s="5">
        <v>12</v>
      </c>
      <c r="P87" s="138">
        <v>13</v>
      </c>
      <c r="Q87" s="1"/>
      <c r="R87" s="1"/>
    </row>
    <row r="88" spans="1:18" ht="33" customHeight="1" thickBot="1">
      <c r="A88" s="22" t="s">
        <v>78</v>
      </c>
      <c r="B88" s="395" t="s">
        <v>79</v>
      </c>
      <c r="C88" s="396"/>
      <c r="D88" s="397"/>
      <c r="E88" s="81">
        <f>E89</f>
        <v>27555</v>
      </c>
      <c r="F88" s="114">
        <f>27555+E88</f>
        <v>55110</v>
      </c>
      <c r="G88" s="81">
        <f>G89+G90+G91+G92</f>
        <v>17114.89</v>
      </c>
      <c r="H88" s="23"/>
      <c r="I88" s="23"/>
      <c r="J88" s="23"/>
      <c r="K88" s="83">
        <f>K89+K90+K91+K92</f>
        <v>17114.89</v>
      </c>
      <c r="L88" s="23">
        <f>21276.8+K88</f>
        <v>38391.69</v>
      </c>
      <c r="M88" s="120">
        <f aca="true" t="shared" si="12" ref="M88:N103">E88-K88</f>
        <v>10440.11</v>
      </c>
      <c r="N88" s="125">
        <f t="shared" si="12"/>
        <v>16718.309999999998</v>
      </c>
      <c r="O88" s="26">
        <v>0</v>
      </c>
      <c r="P88" s="27">
        <v>0</v>
      </c>
      <c r="Q88" s="18"/>
      <c r="R88" s="1"/>
    </row>
    <row r="89" spans="1:18" ht="20.25" customHeight="1" thickBot="1">
      <c r="A89" s="29" t="s">
        <v>179</v>
      </c>
      <c r="B89" s="390" t="s">
        <v>152</v>
      </c>
      <c r="C89" s="391"/>
      <c r="D89" s="392"/>
      <c r="E89" s="112">
        <f>E93+E94+E96+E97+E98+E100+E99+E95</f>
        <v>27555</v>
      </c>
      <c r="F89" s="108">
        <f>27555+E89</f>
        <v>55110</v>
      </c>
      <c r="G89" s="82">
        <f>G96+G97+G98+G100+G93+G94</f>
        <v>17114.89</v>
      </c>
      <c r="H89" s="23"/>
      <c r="I89" s="23"/>
      <c r="J89" s="23"/>
      <c r="K89" s="84">
        <f>G89</f>
        <v>17114.89</v>
      </c>
      <c r="L89" s="15">
        <f>21276.8+K89</f>
        <v>38391.69</v>
      </c>
      <c r="M89" s="119">
        <f t="shared" si="12"/>
        <v>10440.11</v>
      </c>
      <c r="N89" s="124">
        <f t="shared" si="12"/>
        <v>16718.309999999998</v>
      </c>
      <c r="O89" s="31">
        <v>0</v>
      </c>
      <c r="P89" s="123">
        <v>0</v>
      </c>
      <c r="Q89" s="18"/>
      <c r="R89" s="1"/>
    </row>
    <row r="90" spans="1:18" ht="21" customHeight="1" thickBot="1">
      <c r="A90" s="29" t="s">
        <v>180</v>
      </c>
      <c r="B90" s="390" t="s">
        <v>151</v>
      </c>
      <c r="C90" s="391"/>
      <c r="D90" s="392"/>
      <c r="E90" s="112"/>
      <c r="F90" s="108"/>
      <c r="G90" s="81"/>
      <c r="H90" s="23"/>
      <c r="I90" s="23"/>
      <c r="J90" s="23"/>
      <c r="K90" s="84">
        <f aca="true" t="shared" si="13" ref="K90:K99">G90</f>
        <v>0</v>
      </c>
      <c r="L90" s="15">
        <f aca="true" t="shared" si="14" ref="L90:L121">0+K90</f>
        <v>0</v>
      </c>
      <c r="M90" s="119">
        <f t="shared" si="12"/>
        <v>0</v>
      </c>
      <c r="N90" s="124">
        <f t="shared" si="12"/>
        <v>0</v>
      </c>
      <c r="O90" s="31">
        <v>0</v>
      </c>
      <c r="P90" s="123">
        <v>0</v>
      </c>
      <c r="Q90" s="18"/>
      <c r="R90" s="1"/>
    </row>
    <row r="91" spans="1:18" ht="28.5" customHeight="1" thickBot="1">
      <c r="A91" s="29" t="s">
        <v>181</v>
      </c>
      <c r="B91" s="340" t="s">
        <v>171</v>
      </c>
      <c r="C91" s="341"/>
      <c r="D91" s="342"/>
      <c r="E91" s="112"/>
      <c r="F91" s="108"/>
      <c r="G91" s="81"/>
      <c r="H91" s="23"/>
      <c r="I91" s="23"/>
      <c r="J91" s="23"/>
      <c r="K91" s="84">
        <f t="shared" si="13"/>
        <v>0</v>
      </c>
      <c r="L91" s="15">
        <f t="shared" si="14"/>
        <v>0</v>
      </c>
      <c r="M91" s="119">
        <f t="shared" si="12"/>
        <v>0</v>
      </c>
      <c r="N91" s="124">
        <f t="shared" si="12"/>
        <v>0</v>
      </c>
      <c r="O91" s="31">
        <v>0</v>
      </c>
      <c r="P91" s="123">
        <v>0</v>
      </c>
      <c r="Q91" s="18"/>
      <c r="R91" s="1"/>
    </row>
    <row r="92" spans="1:18" ht="16.5" customHeight="1" thickBot="1">
      <c r="A92" s="29" t="s">
        <v>182</v>
      </c>
      <c r="B92" s="340" t="s">
        <v>154</v>
      </c>
      <c r="C92" s="341"/>
      <c r="D92" s="342"/>
      <c r="E92" s="112"/>
      <c r="F92" s="108"/>
      <c r="G92" s="81"/>
      <c r="H92" s="23"/>
      <c r="I92" s="23"/>
      <c r="J92" s="23"/>
      <c r="K92" s="84">
        <f t="shared" si="13"/>
        <v>0</v>
      </c>
      <c r="L92" s="15">
        <f t="shared" si="14"/>
        <v>0</v>
      </c>
      <c r="M92" s="119">
        <f t="shared" si="12"/>
        <v>0</v>
      </c>
      <c r="N92" s="124">
        <f t="shared" si="12"/>
        <v>0</v>
      </c>
      <c r="O92" s="31">
        <v>0</v>
      </c>
      <c r="P92" s="123">
        <v>0</v>
      </c>
      <c r="Q92" s="18"/>
      <c r="R92" s="161">
        <f>L93+L94+L95+L96+L97+L98+L99+L100</f>
        <v>38391.69</v>
      </c>
    </row>
    <row r="93" spans="1:18" ht="18.75" customHeight="1" thickBot="1">
      <c r="A93" s="29" t="s">
        <v>80</v>
      </c>
      <c r="B93" s="359" t="s">
        <v>81</v>
      </c>
      <c r="C93" s="360"/>
      <c r="D93" s="361"/>
      <c r="E93" s="108">
        <v>3000</v>
      </c>
      <c r="F93" s="108">
        <f>3000+E93</f>
        <v>6000</v>
      </c>
      <c r="G93" s="82">
        <v>3000</v>
      </c>
      <c r="H93" s="13"/>
      <c r="I93" s="13"/>
      <c r="J93" s="13"/>
      <c r="K93" s="84">
        <f t="shared" si="13"/>
        <v>3000</v>
      </c>
      <c r="L93" s="15">
        <f>3000+K93</f>
        <v>6000</v>
      </c>
      <c r="M93" s="119">
        <f t="shared" si="12"/>
        <v>0</v>
      </c>
      <c r="N93" s="124">
        <f t="shared" si="12"/>
        <v>0</v>
      </c>
      <c r="O93" s="31">
        <v>0</v>
      </c>
      <c r="P93" s="123">
        <v>0</v>
      </c>
      <c r="Q93" s="1"/>
      <c r="R93" s="18">
        <f>L89+L90+L91+L92</f>
        <v>38391.69</v>
      </c>
    </row>
    <row r="94" spans="1:18" ht="24" customHeight="1" thickBot="1">
      <c r="A94" s="29" t="s">
        <v>82</v>
      </c>
      <c r="B94" s="387" t="s">
        <v>209</v>
      </c>
      <c r="C94" s="388"/>
      <c r="D94" s="389"/>
      <c r="E94" s="108">
        <v>4400</v>
      </c>
      <c r="F94" s="108">
        <f>4400+E94</f>
        <v>8800</v>
      </c>
      <c r="G94" s="82">
        <v>4400</v>
      </c>
      <c r="H94" s="13"/>
      <c r="I94" s="13"/>
      <c r="J94" s="13"/>
      <c r="K94" s="84">
        <f>G94</f>
        <v>4400</v>
      </c>
      <c r="L94" s="15">
        <f>4400+K94</f>
        <v>8800</v>
      </c>
      <c r="M94" s="119">
        <f t="shared" si="12"/>
        <v>0</v>
      </c>
      <c r="N94" s="124">
        <f t="shared" si="12"/>
        <v>0</v>
      </c>
      <c r="O94" s="31">
        <v>0</v>
      </c>
      <c r="P94" s="123">
        <v>0</v>
      </c>
      <c r="Q94" s="1"/>
      <c r="R94" s="1"/>
    </row>
    <row r="95" spans="1:18" ht="21" customHeight="1" thickBot="1">
      <c r="A95" s="29" t="s">
        <v>83</v>
      </c>
      <c r="B95" s="359" t="s">
        <v>84</v>
      </c>
      <c r="C95" s="360"/>
      <c r="D95" s="361"/>
      <c r="E95" s="108"/>
      <c r="F95" s="108">
        <f>0+E95</f>
        <v>0</v>
      </c>
      <c r="G95" s="81"/>
      <c r="H95" s="13"/>
      <c r="I95" s="13"/>
      <c r="J95" s="13"/>
      <c r="K95" s="84">
        <f t="shared" si="13"/>
        <v>0</v>
      </c>
      <c r="L95" s="15">
        <f t="shared" si="14"/>
        <v>0</v>
      </c>
      <c r="M95" s="119">
        <f t="shared" si="12"/>
        <v>0</v>
      </c>
      <c r="N95" s="124">
        <f t="shared" si="12"/>
        <v>0</v>
      </c>
      <c r="O95" s="31">
        <v>0</v>
      </c>
      <c r="P95" s="123">
        <v>0</v>
      </c>
      <c r="Q95" s="1"/>
      <c r="R95" s="1"/>
    </row>
    <row r="96" spans="1:18" ht="17.25" customHeight="1" thickBot="1">
      <c r="A96" s="29" t="s">
        <v>85</v>
      </c>
      <c r="B96" s="359" t="s">
        <v>86</v>
      </c>
      <c r="C96" s="360"/>
      <c r="D96" s="361"/>
      <c r="E96" s="108">
        <v>1355</v>
      </c>
      <c r="F96" s="108">
        <f>1355+E96</f>
        <v>2710</v>
      </c>
      <c r="G96" s="82">
        <v>845</v>
      </c>
      <c r="H96" s="13"/>
      <c r="I96" s="13"/>
      <c r="J96" s="13"/>
      <c r="K96" s="84">
        <f t="shared" si="13"/>
        <v>845</v>
      </c>
      <c r="L96" s="15">
        <f>1355+K96</f>
        <v>2200</v>
      </c>
      <c r="M96" s="119">
        <f t="shared" si="12"/>
        <v>510</v>
      </c>
      <c r="N96" s="124">
        <f t="shared" si="12"/>
        <v>510</v>
      </c>
      <c r="O96" s="31">
        <v>0</v>
      </c>
      <c r="P96" s="123">
        <v>0</v>
      </c>
      <c r="Q96" s="1"/>
      <c r="R96" s="1"/>
    </row>
    <row r="97" spans="1:18" ht="19.5" customHeight="1" thickBot="1">
      <c r="A97" s="29" t="s">
        <v>87</v>
      </c>
      <c r="B97" s="359" t="s">
        <v>88</v>
      </c>
      <c r="C97" s="360"/>
      <c r="D97" s="361"/>
      <c r="E97" s="108">
        <v>7500</v>
      </c>
      <c r="F97" s="108">
        <f>7500+E97</f>
        <v>15000</v>
      </c>
      <c r="G97" s="82">
        <v>6097.89</v>
      </c>
      <c r="H97" s="13"/>
      <c r="I97" s="13"/>
      <c r="J97" s="13"/>
      <c r="K97" s="84">
        <f>G97</f>
        <v>6097.89</v>
      </c>
      <c r="L97" s="15">
        <f>3151+K97</f>
        <v>9248.89</v>
      </c>
      <c r="M97" s="119">
        <f t="shared" si="12"/>
        <v>1402.1099999999997</v>
      </c>
      <c r="N97" s="124">
        <f t="shared" si="12"/>
        <v>5751.110000000001</v>
      </c>
      <c r="O97" s="31">
        <v>0</v>
      </c>
      <c r="P97" s="123">
        <v>0</v>
      </c>
      <c r="Q97" s="1"/>
      <c r="R97" s="1"/>
    </row>
    <row r="98" spans="1:16" ht="18" customHeight="1" thickBot="1">
      <c r="A98" s="29" t="s">
        <v>89</v>
      </c>
      <c r="B98" s="359" t="s">
        <v>90</v>
      </c>
      <c r="C98" s="360"/>
      <c r="D98" s="361"/>
      <c r="E98" s="108">
        <v>1500</v>
      </c>
      <c r="F98" s="108">
        <f>1500+E98</f>
        <v>3000</v>
      </c>
      <c r="G98" s="82">
        <v>2772</v>
      </c>
      <c r="H98" s="13"/>
      <c r="I98" s="13"/>
      <c r="J98" s="13"/>
      <c r="K98" s="84">
        <f t="shared" si="13"/>
        <v>2772</v>
      </c>
      <c r="L98" s="15">
        <f t="shared" si="14"/>
        <v>2772</v>
      </c>
      <c r="M98" s="119">
        <f t="shared" si="12"/>
        <v>-1272</v>
      </c>
      <c r="N98" s="124">
        <f t="shared" si="12"/>
        <v>228</v>
      </c>
      <c r="O98" s="31">
        <v>0</v>
      </c>
      <c r="P98" s="123">
        <v>0</v>
      </c>
    </row>
    <row r="99" spans="1:16" ht="19.5" customHeight="1" thickBot="1">
      <c r="A99" s="29" t="s">
        <v>91</v>
      </c>
      <c r="B99" s="359" t="s">
        <v>92</v>
      </c>
      <c r="C99" s="360"/>
      <c r="D99" s="361"/>
      <c r="E99" s="108">
        <v>0</v>
      </c>
      <c r="F99" s="108">
        <f>0+E99</f>
        <v>0</v>
      </c>
      <c r="G99" s="81"/>
      <c r="H99" s="13"/>
      <c r="I99" s="13"/>
      <c r="J99" s="13"/>
      <c r="K99" s="84">
        <f t="shared" si="13"/>
        <v>0</v>
      </c>
      <c r="L99" s="15">
        <f t="shared" si="14"/>
        <v>0</v>
      </c>
      <c r="M99" s="119">
        <f t="shared" si="12"/>
        <v>0</v>
      </c>
      <c r="N99" s="124">
        <f t="shared" si="12"/>
        <v>0</v>
      </c>
      <c r="O99" s="31">
        <v>0</v>
      </c>
      <c r="P99" s="123">
        <v>0</v>
      </c>
    </row>
    <row r="100" spans="1:16" ht="24" customHeight="1" thickBot="1">
      <c r="A100" s="29" t="s">
        <v>93</v>
      </c>
      <c r="B100" s="359" t="s">
        <v>94</v>
      </c>
      <c r="C100" s="360"/>
      <c r="D100" s="361"/>
      <c r="E100" s="108">
        <v>9800</v>
      </c>
      <c r="F100" s="108">
        <f>9800+E100</f>
        <v>19600</v>
      </c>
      <c r="G100" s="82"/>
      <c r="H100" s="13"/>
      <c r="I100" s="13"/>
      <c r="J100" s="13"/>
      <c r="K100" s="84">
        <f>G100</f>
        <v>0</v>
      </c>
      <c r="L100" s="15">
        <f>9370.8+K100</f>
        <v>9370.8</v>
      </c>
      <c r="M100" s="119">
        <f t="shared" si="12"/>
        <v>9800</v>
      </c>
      <c r="N100" s="124">
        <f t="shared" si="12"/>
        <v>10229.2</v>
      </c>
      <c r="O100" s="31">
        <v>0</v>
      </c>
      <c r="P100" s="123">
        <v>0</v>
      </c>
    </row>
    <row r="101" spans="1:18" ht="45.75" customHeight="1" thickBot="1">
      <c r="A101" s="56" t="s">
        <v>95</v>
      </c>
      <c r="B101" s="425" t="s">
        <v>96</v>
      </c>
      <c r="C101" s="323"/>
      <c r="D101" s="324"/>
      <c r="E101" s="114">
        <f>E102+E103</f>
        <v>54250</v>
      </c>
      <c r="F101" s="114">
        <f>88150+E101</f>
        <v>142400</v>
      </c>
      <c r="G101" s="114">
        <f>G102+G104+G105</f>
        <v>65834.01</v>
      </c>
      <c r="H101" s="32"/>
      <c r="I101" s="23">
        <v>79173</v>
      </c>
      <c r="J101" s="23"/>
      <c r="K101" s="114">
        <f>G101+H101+I101+J101</f>
        <v>145007.01</v>
      </c>
      <c r="L101" s="23">
        <f>16385.01+K101</f>
        <v>161392.02000000002</v>
      </c>
      <c r="M101" s="120">
        <f t="shared" si="12"/>
        <v>-90757.01000000001</v>
      </c>
      <c r="N101" s="125">
        <f t="shared" si="12"/>
        <v>-18992.02000000002</v>
      </c>
      <c r="O101" s="26">
        <v>0</v>
      </c>
      <c r="P101" s="27">
        <v>0</v>
      </c>
      <c r="R101" s="162">
        <f>L102+L103+L104+L105</f>
        <v>161392.02</v>
      </c>
    </row>
    <row r="102" spans="1:18" ht="22.5" customHeight="1" thickBot="1">
      <c r="A102" s="29" t="s">
        <v>183</v>
      </c>
      <c r="B102" s="390" t="s">
        <v>152</v>
      </c>
      <c r="C102" s="391"/>
      <c r="D102" s="392"/>
      <c r="E102" s="112">
        <f>E106+E107+E114+E120+E132+E113</f>
        <v>41500</v>
      </c>
      <c r="F102" s="108">
        <f>75400+E102</f>
        <v>116900</v>
      </c>
      <c r="G102" s="13">
        <f>G106+G107+G108+G109+G110+G111+G112+G113+G114+G115+G116+G117+G118+G119+G120+G127+G128+G129+G130+G131+G132</f>
        <v>65834.01</v>
      </c>
      <c r="H102" s="32"/>
      <c r="I102" s="23"/>
      <c r="J102" s="23"/>
      <c r="K102" s="84">
        <f>G102</f>
        <v>65834.01</v>
      </c>
      <c r="L102" s="15">
        <f>3385.01+K102</f>
        <v>69219.01999999999</v>
      </c>
      <c r="M102" s="119">
        <f t="shared" si="12"/>
        <v>-24334.009999999995</v>
      </c>
      <c r="N102" s="124">
        <f t="shared" si="12"/>
        <v>47680.98000000001</v>
      </c>
      <c r="O102" s="31">
        <v>0</v>
      </c>
      <c r="P102" s="123">
        <v>0</v>
      </c>
      <c r="R102" s="162">
        <f>L106+L114+L118+L120</f>
        <v>69219.01999999999</v>
      </c>
    </row>
    <row r="103" spans="1:16" ht="19.5" customHeight="1" thickBot="1">
      <c r="A103" s="29" t="s">
        <v>184</v>
      </c>
      <c r="B103" s="390" t="s">
        <v>151</v>
      </c>
      <c r="C103" s="391"/>
      <c r="D103" s="392"/>
      <c r="E103" s="112">
        <f>E130</f>
        <v>12750</v>
      </c>
      <c r="F103" s="108">
        <f>12750+E103</f>
        <v>25500</v>
      </c>
      <c r="G103" s="32"/>
      <c r="H103" s="32"/>
      <c r="I103" s="23"/>
      <c r="J103" s="23"/>
      <c r="K103" s="84">
        <f aca="true" t="shared" si="15" ref="K103:K121">G103</f>
        <v>0</v>
      </c>
      <c r="L103" s="15">
        <f t="shared" si="14"/>
        <v>0</v>
      </c>
      <c r="M103" s="119">
        <f t="shared" si="12"/>
        <v>12750</v>
      </c>
      <c r="N103" s="124">
        <f t="shared" si="12"/>
        <v>25500</v>
      </c>
      <c r="O103" s="31">
        <v>0</v>
      </c>
      <c r="P103" s="123">
        <v>0</v>
      </c>
    </row>
    <row r="104" spans="1:16" ht="30.75" customHeight="1" thickBot="1">
      <c r="A104" s="29" t="s">
        <v>185</v>
      </c>
      <c r="B104" s="340" t="s">
        <v>171</v>
      </c>
      <c r="C104" s="341"/>
      <c r="D104" s="342"/>
      <c r="E104" s="112"/>
      <c r="F104" s="108"/>
      <c r="G104" s="108"/>
      <c r="H104" s="32"/>
      <c r="I104" s="15">
        <v>79173</v>
      </c>
      <c r="J104" s="23"/>
      <c r="K104" s="84">
        <f>I104</f>
        <v>79173</v>
      </c>
      <c r="L104" s="15">
        <f>13000+K104</f>
        <v>92173</v>
      </c>
      <c r="M104" s="119">
        <f aca="true" t="shared" si="16" ref="M104:N121">E104-K104</f>
        <v>-79173</v>
      </c>
      <c r="N104" s="124">
        <f t="shared" si="16"/>
        <v>-92173</v>
      </c>
      <c r="O104" s="31">
        <v>0</v>
      </c>
      <c r="P104" s="123">
        <v>0</v>
      </c>
    </row>
    <row r="105" spans="1:16" ht="23.25" customHeight="1" thickBot="1">
      <c r="A105" s="29" t="s">
        <v>186</v>
      </c>
      <c r="B105" s="390" t="s">
        <v>154</v>
      </c>
      <c r="C105" s="391"/>
      <c r="D105" s="392"/>
      <c r="E105" s="112"/>
      <c r="F105" s="108"/>
      <c r="G105" s="32"/>
      <c r="H105" s="32"/>
      <c r="I105" s="23"/>
      <c r="J105" s="23"/>
      <c r="K105" s="84">
        <f>G105</f>
        <v>0</v>
      </c>
      <c r="L105" s="15">
        <f t="shared" si="14"/>
        <v>0</v>
      </c>
      <c r="M105" s="119">
        <f t="shared" si="16"/>
        <v>0</v>
      </c>
      <c r="N105" s="124">
        <f t="shared" si="16"/>
        <v>0</v>
      </c>
      <c r="O105" s="31">
        <v>0</v>
      </c>
      <c r="P105" s="123">
        <v>0</v>
      </c>
    </row>
    <row r="106" spans="1:16" ht="28.5" customHeight="1" thickBot="1">
      <c r="A106" s="29" t="s">
        <v>97</v>
      </c>
      <c r="B106" s="511" t="s">
        <v>98</v>
      </c>
      <c r="C106" s="512"/>
      <c r="D106" s="513"/>
      <c r="E106" s="108"/>
      <c r="F106" s="108">
        <f>16300+E106</f>
        <v>16300</v>
      </c>
      <c r="G106" s="13">
        <v>28500</v>
      </c>
      <c r="H106" s="13"/>
      <c r="I106" s="13"/>
      <c r="J106" s="13"/>
      <c r="K106" s="84">
        <f t="shared" si="15"/>
        <v>28500</v>
      </c>
      <c r="L106" s="15">
        <f t="shared" si="14"/>
        <v>28500</v>
      </c>
      <c r="M106" s="119">
        <f t="shared" si="16"/>
        <v>-28500</v>
      </c>
      <c r="N106" s="124">
        <f t="shared" si="16"/>
        <v>-12200</v>
      </c>
      <c r="O106" s="31">
        <v>0</v>
      </c>
      <c r="P106" s="123">
        <v>0</v>
      </c>
    </row>
    <row r="107" spans="1:16" ht="21.75" customHeight="1" thickBot="1">
      <c r="A107" s="29" t="s">
        <v>99</v>
      </c>
      <c r="B107" s="359" t="s">
        <v>100</v>
      </c>
      <c r="C107" s="360"/>
      <c r="D107" s="361"/>
      <c r="E107" s="108"/>
      <c r="F107" s="108">
        <f>15000+E107</f>
        <v>15000</v>
      </c>
      <c r="G107" s="13"/>
      <c r="H107" s="13"/>
      <c r="I107" s="13"/>
      <c r="J107" s="13"/>
      <c r="K107" s="84">
        <f t="shared" si="15"/>
        <v>0</v>
      </c>
      <c r="L107" s="15">
        <f t="shared" si="14"/>
        <v>0</v>
      </c>
      <c r="M107" s="119">
        <f t="shared" si="16"/>
        <v>0</v>
      </c>
      <c r="N107" s="124">
        <f t="shared" si="16"/>
        <v>15000</v>
      </c>
      <c r="O107" s="31">
        <v>0</v>
      </c>
      <c r="P107" s="123">
        <v>0</v>
      </c>
    </row>
    <row r="108" spans="1:16" ht="21.75" customHeight="1" thickBot="1">
      <c r="A108" s="29" t="s">
        <v>101</v>
      </c>
      <c r="B108" s="384" t="s">
        <v>102</v>
      </c>
      <c r="C108" s="385"/>
      <c r="D108" s="386"/>
      <c r="E108" s="108"/>
      <c r="F108" s="108"/>
      <c r="G108" s="13"/>
      <c r="H108" s="13"/>
      <c r="I108" s="13"/>
      <c r="J108" s="13"/>
      <c r="K108" s="84">
        <f t="shared" si="15"/>
        <v>0</v>
      </c>
      <c r="L108" s="15">
        <f t="shared" si="14"/>
        <v>0</v>
      </c>
      <c r="M108" s="119">
        <f t="shared" si="16"/>
        <v>0</v>
      </c>
      <c r="N108" s="124">
        <f t="shared" si="16"/>
        <v>0</v>
      </c>
      <c r="O108" s="31">
        <v>0</v>
      </c>
      <c r="P108" s="123">
        <v>0</v>
      </c>
    </row>
    <row r="109" spans="1:16" ht="20.25" customHeight="1" thickBot="1">
      <c r="A109" s="29" t="s">
        <v>103</v>
      </c>
      <c r="B109" s="359" t="s">
        <v>104</v>
      </c>
      <c r="C109" s="360"/>
      <c r="D109" s="361"/>
      <c r="E109" s="108"/>
      <c r="F109" s="108"/>
      <c r="G109" s="13"/>
      <c r="H109" s="13"/>
      <c r="I109" s="13"/>
      <c r="J109" s="13"/>
      <c r="K109" s="84">
        <f t="shared" si="15"/>
        <v>0</v>
      </c>
      <c r="L109" s="15">
        <f t="shared" si="14"/>
        <v>0</v>
      </c>
      <c r="M109" s="119">
        <f t="shared" si="16"/>
        <v>0</v>
      </c>
      <c r="N109" s="124">
        <f t="shared" si="16"/>
        <v>0</v>
      </c>
      <c r="O109" s="31">
        <v>0</v>
      </c>
      <c r="P109" s="123">
        <v>0</v>
      </c>
    </row>
    <row r="110" spans="1:16" ht="24.75" customHeight="1" thickBot="1">
      <c r="A110" s="29" t="s">
        <v>105</v>
      </c>
      <c r="B110" s="359" t="s">
        <v>106</v>
      </c>
      <c r="C110" s="360"/>
      <c r="D110" s="361"/>
      <c r="E110" s="108"/>
      <c r="F110" s="108"/>
      <c r="G110" s="13"/>
      <c r="H110" s="13"/>
      <c r="I110" s="13"/>
      <c r="J110" s="13"/>
      <c r="K110" s="84">
        <f t="shared" si="15"/>
        <v>0</v>
      </c>
      <c r="L110" s="15">
        <f t="shared" si="14"/>
        <v>0</v>
      </c>
      <c r="M110" s="119">
        <f t="shared" si="16"/>
        <v>0</v>
      </c>
      <c r="N110" s="124">
        <f t="shared" si="16"/>
        <v>0</v>
      </c>
      <c r="O110" s="31">
        <v>0</v>
      </c>
      <c r="P110" s="123">
        <v>0</v>
      </c>
    </row>
    <row r="111" spans="1:16" ht="24" customHeight="1" thickBot="1">
      <c r="A111" s="29" t="s">
        <v>107</v>
      </c>
      <c r="B111" s="384" t="s">
        <v>108</v>
      </c>
      <c r="C111" s="385"/>
      <c r="D111" s="386"/>
      <c r="E111" s="108"/>
      <c r="F111" s="108"/>
      <c r="G111" s="13"/>
      <c r="H111" s="13"/>
      <c r="I111" s="13"/>
      <c r="J111" s="13"/>
      <c r="K111" s="84">
        <f t="shared" si="15"/>
        <v>0</v>
      </c>
      <c r="L111" s="15">
        <f t="shared" si="14"/>
        <v>0</v>
      </c>
      <c r="M111" s="119">
        <f t="shared" si="16"/>
        <v>0</v>
      </c>
      <c r="N111" s="124">
        <f t="shared" si="16"/>
        <v>0</v>
      </c>
      <c r="O111" s="31">
        <v>0</v>
      </c>
      <c r="P111" s="123">
        <v>0</v>
      </c>
    </row>
    <row r="112" spans="1:16" ht="31.5" customHeight="1" thickBot="1">
      <c r="A112" s="29" t="s">
        <v>109</v>
      </c>
      <c r="B112" s="359" t="s">
        <v>110</v>
      </c>
      <c r="C112" s="360"/>
      <c r="D112" s="361"/>
      <c r="E112" s="108"/>
      <c r="F112" s="108"/>
      <c r="G112" s="13"/>
      <c r="H112" s="13"/>
      <c r="I112" s="13"/>
      <c r="J112" s="13"/>
      <c r="K112" s="84">
        <f t="shared" si="15"/>
        <v>0</v>
      </c>
      <c r="L112" s="15">
        <f t="shared" si="14"/>
        <v>0</v>
      </c>
      <c r="M112" s="119">
        <f t="shared" si="16"/>
        <v>0</v>
      </c>
      <c r="N112" s="124">
        <f t="shared" si="16"/>
        <v>0</v>
      </c>
      <c r="O112" s="31">
        <v>0</v>
      </c>
      <c r="P112" s="123">
        <v>0</v>
      </c>
    </row>
    <row r="113" spans="1:16" ht="21" customHeight="1" thickBot="1">
      <c r="A113" s="29" t="s">
        <v>111</v>
      </c>
      <c r="B113" s="359" t="s">
        <v>112</v>
      </c>
      <c r="C113" s="360"/>
      <c r="D113" s="361"/>
      <c r="E113" s="108">
        <v>40000</v>
      </c>
      <c r="F113" s="108">
        <f>0+E113</f>
        <v>40000</v>
      </c>
      <c r="G113" s="13"/>
      <c r="H113" s="13"/>
      <c r="I113" s="13"/>
      <c r="J113" s="13"/>
      <c r="K113" s="84">
        <f t="shared" si="15"/>
        <v>0</v>
      </c>
      <c r="L113" s="15">
        <f t="shared" si="14"/>
        <v>0</v>
      </c>
      <c r="M113" s="119">
        <f t="shared" si="16"/>
        <v>40000</v>
      </c>
      <c r="N113" s="124">
        <f t="shared" si="16"/>
        <v>40000</v>
      </c>
      <c r="O113" s="31">
        <v>0</v>
      </c>
      <c r="P113" s="123">
        <v>0</v>
      </c>
    </row>
    <row r="114" spans="1:16" ht="35.25" customHeight="1" thickBot="1">
      <c r="A114" s="29" t="s">
        <v>113</v>
      </c>
      <c r="B114" s="359" t="s">
        <v>114</v>
      </c>
      <c r="C114" s="360"/>
      <c r="D114" s="361"/>
      <c r="E114" s="108">
        <v>1500</v>
      </c>
      <c r="F114" s="108">
        <f>1500+E114</f>
        <v>3000</v>
      </c>
      <c r="G114" s="13">
        <v>1250</v>
      </c>
      <c r="H114" s="13"/>
      <c r="I114" s="13"/>
      <c r="J114" s="13"/>
      <c r="K114" s="84">
        <f t="shared" si="15"/>
        <v>1250</v>
      </c>
      <c r="L114" s="15">
        <f>1840.01+K114</f>
        <v>3090.01</v>
      </c>
      <c r="M114" s="119">
        <f t="shared" si="16"/>
        <v>250</v>
      </c>
      <c r="N114" s="124">
        <f t="shared" si="16"/>
        <v>-90.01000000000022</v>
      </c>
      <c r="O114" s="31">
        <v>0</v>
      </c>
      <c r="P114" s="123">
        <v>0</v>
      </c>
    </row>
    <row r="115" spans="1:16" ht="33" customHeight="1" thickBot="1">
      <c r="A115" s="29" t="s">
        <v>115</v>
      </c>
      <c r="B115" s="359" t="s">
        <v>116</v>
      </c>
      <c r="C115" s="360"/>
      <c r="D115" s="361"/>
      <c r="E115" s="108"/>
      <c r="F115" s="108"/>
      <c r="G115" s="13"/>
      <c r="H115" s="13"/>
      <c r="I115" s="13"/>
      <c r="J115" s="13"/>
      <c r="K115" s="84">
        <f t="shared" si="15"/>
        <v>0</v>
      </c>
      <c r="L115" s="15">
        <f t="shared" si="14"/>
        <v>0</v>
      </c>
      <c r="M115" s="119">
        <f t="shared" si="16"/>
        <v>0</v>
      </c>
      <c r="N115" s="124">
        <f t="shared" si="16"/>
        <v>0</v>
      </c>
      <c r="O115" s="31">
        <v>0</v>
      </c>
      <c r="P115" s="123">
        <v>0</v>
      </c>
    </row>
    <row r="116" spans="1:16" ht="32.25" customHeight="1" thickBot="1">
      <c r="A116" s="29" t="s">
        <v>117</v>
      </c>
      <c r="B116" s="359" t="s">
        <v>118</v>
      </c>
      <c r="C116" s="360"/>
      <c r="D116" s="361"/>
      <c r="E116" s="108"/>
      <c r="F116" s="108"/>
      <c r="G116" s="13"/>
      <c r="H116" s="13"/>
      <c r="I116" s="13"/>
      <c r="J116" s="13"/>
      <c r="K116" s="84">
        <f t="shared" si="15"/>
        <v>0</v>
      </c>
      <c r="L116" s="15">
        <f t="shared" si="14"/>
        <v>0</v>
      </c>
      <c r="M116" s="119">
        <f t="shared" si="16"/>
        <v>0</v>
      </c>
      <c r="N116" s="124">
        <f t="shared" si="16"/>
        <v>0</v>
      </c>
      <c r="O116" s="31">
        <v>0</v>
      </c>
      <c r="P116" s="123">
        <v>0</v>
      </c>
    </row>
    <row r="117" spans="1:16" ht="33" customHeight="1" thickBot="1">
      <c r="A117" s="29"/>
      <c r="B117" s="359" t="s">
        <v>119</v>
      </c>
      <c r="C117" s="360"/>
      <c r="D117" s="361"/>
      <c r="E117" s="108"/>
      <c r="F117" s="108"/>
      <c r="G117" s="13"/>
      <c r="H117" s="13"/>
      <c r="I117" s="13"/>
      <c r="J117" s="13"/>
      <c r="K117" s="84">
        <f t="shared" si="15"/>
        <v>0</v>
      </c>
      <c r="L117" s="15">
        <f t="shared" si="14"/>
        <v>0</v>
      </c>
      <c r="M117" s="119">
        <f t="shared" si="16"/>
        <v>0</v>
      </c>
      <c r="N117" s="124">
        <f t="shared" si="16"/>
        <v>0</v>
      </c>
      <c r="O117" s="31">
        <v>0</v>
      </c>
      <c r="P117" s="123">
        <v>0</v>
      </c>
    </row>
    <row r="118" spans="1:16" ht="30" customHeight="1" thickBot="1">
      <c r="A118" s="29" t="s">
        <v>120</v>
      </c>
      <c r="B118" s="359" t="s">
        <v>121</v>
      </c>
      <c r="C118" s="360"/>
      <c r="D118" s="361"/>
      <c r="E118" s="108"/>
      <c r="F118" s="108"/>
      <c r="G118" s="13">
        <v>8.63</v>
      </c>
      <c r="H118" s="13"/>
      <c r="I118" s="13"/>
      <c r="J118" s="13"/>
      <c r="K118" s="84">
        <f t="shared" si="15"/>
        <v>8.63</v>
      </c>
      <c r="L118" s="15">
        <f>1545+K118</f>
        <v>1553.63</v>
      </c>
      <c r="M118" s="119">
        <f t="shared" si="16"/>
        <v>-8.63</v>
      </c>
      <c r="N118" s="124">
        <f t="shared" si="16"/>
        <v>-1553.63</v>
      </c>
      <c r="O118" s="31">
        <v>0</v>
      </c>
      <c r="P118" s="123">
        <v>0</v>
      </c>
    </row>
    <row r="119" spans="1:16" ht="39" customHeight="1" thickBot="1">
      <c r="A119" s="29" t="s">
        <v>210</v>
      </c>
      <c r="B119" s="381" t="s">
        <v>122</v>
      </c>
      <c r="C119" s="382"/>
      <c r="D119" s="383"/>
      <c r="E119" s="108"/>
      <c r="F119" s="108"/>
      <c r="G119" s="13"/>
      <c r="H119" s="13"/>
      <c r="I119" s="13"/>
      <c r="J119" s="13"/>
      <c r="K119" s="84">
        <f t="shared" si="15"/>
        <v>0</v>
      </c>
      <c r="L119" s="15">
        <f t="shared" si="14"/>
        <v>0</v>
      </c>
      <c r="M119" s="119">
        <f t="shared" si="16"/>
        <v>0</v>
      </c>
      <c r="N119" s="124">
        <f t="shared" si="16"/>
        <v>0</v>
      </c>
      <c r="O119" s="31">
        <v>0</v>
      </c>
      <c r="P119" s="123">
        <v>0</v>
      </c>
    </row>
    <row r="120" spans="1:16" ht="32.25" customHeight="1" thickBot="1">
      <c r="A120" s="29" t="s">
        <v>211</v>
      </c>
      <c r="B120" s="381" t="s">
        <v>122</v>
      </c>
      <c r="C120" s="382"/>
      <c r="D120" s="383"/>
      <c r="E120" s="108"/>
      <c r="F120" s="108">
        <f>36000+E120</f>
        <v>36000</v>
      </c>
      <c r="G120" s="13">
        <v>36075.38</v>
      </c>
      <c r="H120" s="13"/>
      <c r="I120" s="13"/>
      <c r="J120" s="13"/>
      <c r="K120" s="84">
        <f t="shared" si="15"/>
        <v>36075.38</v>
      </c>
      <c r="L120" s="15">
        <f t="shared" si="14"/>
        <v>36075.38</v>
      </c>
      <c r="M120" s="119">
        <f t="shared" si="16"/>
        <v>-36075.38</v>
      </c>
      <c r="N120" s="124">
        <f t="shared" si="16"/>
        <v>-75.37999999999738</v>
      </c>
      <c r="O120" s="31">
        <v>0</v>
      </c>
      <c r="P120" s="123">
        <v>0</v>
      </c>
    </row>
    <row r="121" spans="1:16" ht="38.25" customHeight="1" thickBot="1">
      <c r="A121" s="34" t="s">
        <v>123</v>
      </c>
      <c r="B121" s="359" t="s">
        <v>124</v>
      </c>
      <c r="C121" s="360"/>
      <c r="D121" s="361"/>
      <c r="E121" s="108"/>
      <c r="F121" s="108"/>
      <c r="G121" s="13"/>
      <c r="H121" s="13"/>
      <c r="I121" s="13"/>
      <c r="J121" s="13"/>
      <c r="K121" s="84">
        <f t="shared" si="15"/>
        <v>0</v>
      </c>
      <c r="L121" s="15">
        <f t="shared" si="14"/>
        <v>0</v>
      </c>
      <c r="M121" s="119">
        <f t="shared" si="16"/>
        <v>0</v>
      </c>
      <c r="N121" s="124">
        <f t="shared" si="16"/>
        <v>0</v>
      </c>
      <c r="O121" s="31">
        <v>0</v>
      </c>
      <c r="P121" s="123">
        <v>0</v>
      </c>
    </row>
    <row r="122" spans="1:16" ht="15">
      <c r="A122" s="35"/>
      <c r="B122" s="362" t="s">
        <v>30</v>
      </c>
      <c r="C122" s="362"/>
      <c r="D122" s="362"/>
      <c r="E122" s="362"/>
      <c r="F122" s="362"/>
      <c r="G122" s="362"/>
      <c r="H122" s="362"/>
      <c r="I122" s="362"/>
      <c r="J122" s="362"/>
      <c r="K122" s="362"/>
      <c r="L122" s="362"/>
      <c r="M122" s="362"/>
      <c r="N122" s="362"/>
      <c r="O122" s="362"/>
      <c r="P122" s="363"/>
    </row>
    <row r="123" spans="1:16" ht="15.75" thickBot="1">
      <c r="A123" s="36"/>
      <c r="B123" s="364"/>
      <c r="C123" s="364"/>
      <c r="D123" s="364"/>
      <c r="E123" s="364"/>
      <c r="F123" s="364"/>
      <c r="G123" s="364"/>
      <c r="H123" s="364"/>
      <c r="I123" s="364"/>
      <c r="J123" s="364"/>
      <c r="K123" s="364"/>
      <c r="L123" s="364"/>
      <c r="M123" s="364"/>
      <c r="N123" s="364"/>
      <c r="O123" s="364"/>
      <c r="P123" s="365"/>
    </row>
    <row r="124" spans="1:16" ht="15.75" thickBot="1">
      <c r="A124" s="37"/>
      <c r="B124" s="366" t="s">
        <v>14</v>
      </c>
      <c r="C124" s="367"/>
      <c r="D124" s="368"/>
      <c r="E124" s="372" t="s">
        <v>24</v>
      </c>
      <c r="F124" s="374" t="s">
        <v>25</v>
      </c>
      <c r="G124" s="376" t="s">
        <v>31</v>
      </c>
      <c r="H124" s="377"/>
      <c r="I124" s="377"/>
      <c r="J124" s="377"/>
      <c r="K124" s="378"/>
      <c r="L124" s="379" t="s">
        <v>16</v>
      </c>
      <c r="M124" s="379" t="s">
        <v>17</v>
      </c>
      <c r="N124" s="379" t="s">
        <v>18</v>
      </c>
      <c r="O124" s="379" t="s">
        <v>19</v>
      </c>
      <c r="P124" s="379" t="s">
        <v>20</v>
      </c>
    </row>
    <row r="125" spans="1:16" ht="77.25" thickBot="1">
      <c r="A125" s="144"/>
      <c r="B125" s="369"/>
      <c r="C125" s="370"/>
      <c r="D125" s="371"/>
      <c r="E125" s="373"/>
      <c r="F125" s="375"/>
      <c r="G125" s="59" t="s">
        <v>32</v>
      </c>
      <c r="H125" s="59" t="s">
        <v>33</v>
      </c>
      <c r="I125" s="59" t="s">
        <v>34</v>
      </c>
      <c r="J125" s="61" t="s">
        <v>35</v>
      </c>
      <c r="K125" s="85" t="s">
        <v>27</v>
      </c>
      <c r="L125" s="380"/>
      <c r="M125" s="380"/>
      <c r="N125" s="380"/>
      <c r="O125" s="380"/>
      <c r="P125" s="380"/>
    </row>
    <row r="126" spans="1:16" ht="15.75" thickBot="1">
      <c r="A126" s="38"/>
      <c r="B126" s="350">
        <v>1</v>
      </c>
      <c r="C126" s="351"/>
      <c r="D126" s="352"/>
      <c r="E126" s="7" t="s">
        <v>22</v>
      </c>
      <c r="F126" s="134">
        <v>3</v>
      </c>
      <c r="G126" s="134">
        <v>4</v>
      </c>
      <c r="H126" s="134">
        <v>5</v>
      </c>
      <c r="I126" s="5">
        <v>6</v>
      </c>
      <c r="J126" s="5">
        <v>7</v>
      </c>
      <c r="K126" s="89">
        <v>8</v>
      </c>
      <c r="L126" s="138">
        <v>9</v>
      </c>
      <c r="M126" s="5">
        <v>10</v>
      </c>
      <c r="N126" s="138">
        <v>11</v>
      </c>
      <c r="O126" s="5">
        <v>12</v>
      </c>
      <c r="P126" s="138">
        <v>13</v>
      </c>
    </row>
    <row r="127" spans="1:16" ht="27.75" thickBot="1">
      <c r="A127" s="115" t="s">
        <v>125</v>
      </c>
      <c r="B127" s="514" t="s">
        <v>126</v>
      </c>
      <c r="C127" s="515"/>
      <c r="D127" s="516"/>
      <c r="E127" s="108"/>
      <c r="F127" s="108"/>
      <c r="G127" s="13"/>
      <c r="H127" s="13"/>
      <c r="I127" s="13"/>
      <c r="J127" s="13"/>
      <c r="K127" s="84">
        <f aca="true" t="shared" si="17" ref="K127:K141">G127</f>
        <v>0</v>
      </c>
      <c r="L127" s="15">
        <f aca="true" t="shared" si="18" ref="L127:L141">0+K127</f>
        <v>0</v>
      </c>
      <c r="M127" s="119">
        <f aca="true" t="shared" si="19" ref="M127:N142">E127-K127</f>
        <v>0</v>
      </c>
      <c r="N127" s="124">
        <f t="shared" si="19"/>
        <v>0</v>
      </c>
      <c r="O127" s="31">
        <v>0</v>
      </c>
      <c r="P127" s="123">
        <v>0</v>
      </c>
    </row>
    <row r="128" spans="1:16" ht="33" customHeight="1" thickBot="1">
      <c r="A128" s="116" t="s">
        <v>127</v>
      </c>
      <c r="B128" s="427" t="s">
        <v>128</v>
      </c>
      <c r="C128" s="428"/>
      <c r="D128" s="429"/>
      <c r="E128" s="108"/>
      <c r="F128" s="108"/>
      <c r="G128" s="13"/>
      <c r="H128" s="13"/>
      <c r="I128" s="13"/>
      <c r="J128" s="13"/>
      <c r="K128" s="84">
        <f t="shared" si="17"/>
        <v>0</v>
      </c>
      <c r="L128" s="15">
        <f t="shared" si="18"/>
        <v>0</v>
      </c>
      <c r="M128" s="119">
        <f t="shared" si="19"/>
        <v>0</v>
      </c>
      <c r="N128" s="124">
        <f t="shared" si="19"/>
        <v>0</v>
      </c>
      <c r="O128" s="31">
        <v>0</v>
      </c>
      <c r="P128" s="123">
        <v>0</v>
      </c>
    </row>
    <row r="129" spans="1:16" ht="30.75" thickBot="1">
      <c r="A129" s="39" t="s">
        <v>129</v>
      </c>
      <c r="B129" s="359" t="s">
        <v>130</v>
      </c>
      <c r="C129" s="360"/>
      <c r="D129" s="361"/>
      <c r="E129" s="108"/>
      <c r="F129" s="108"/>
      <c r="G129" s="13"/>
      <c r="H129" s="13"/>
      <c r="I129" s="13">
        <v>79173</v>
      </c>
      <c r="J129" s="13"/>
      <c r="K129" s="84">
        <f>I129</f>
        <v>79173</v>
      </c>
      <c r="L129" s="15">
        <f>13000+K129</f>
        <v>92173</v>
      </c>
      <c r="M129" s="119">
        <f t="shared" si="19"/>
        <v>-79173</v>
      </c>
      <c r="N129" s="124">
        <f t="shared" si="19"/>
        <v>-92173</v>
      </c>
      <c r="O129" s="31">
        <v>0</v>
      </c>
      <c r="P129" s="123">
        <v>0</v>
      </c>
    </row>
    <row r="130" spans="1:16" ht="30.75" customHeight="1" thickBot="1">
      <c r="A130" s="39" t="s">
        <v>131</v>
      </c>
      <c r="B130" s="387" t="s">
        <v>217</v>
      </c>
      <c r="C130" s="388"/>
      <c r="D130" s="389"/>
      <c r="E130" s="108">
        <v>12750</v>
      </c>
      <c r="F130" s="108">
        <f>12750+E130</f>
        <v>25500</v>
      </c>
      <c r="G130" s="13"/>
      <c r="H130" s="13"/>
      <c r="I130" s="13"/>
      <c r="J130" s="13"/>
      <c r="K130" s="84">
        <f t="shared" si="17"/>
        <v>0</v>
      </c>
      <c r="L130" s="15">
        <f t="shared" si="18"/>
        <v>0</v>
      </c>
      <c r="M130" s="119">
        <f t="shared" si="19"/>
        <v>12750</v>
      </c>
      <c r="N130" s="124">
        <f t="shared" si="19"/>
        <v>25500</v>
      </c>
      <c r="O130" s="31">
        <v>0</v>
      </c>
      <c r="P130" s="123">
        <v>0</v>
      </c>
    </row>
    <row r="131" spans="1:16" ht="30.75" thickBot="1">
      <c r="A131" s="73" t="s">
        <v>133</v>
      </c>
      <c r="B131" s="359" t="s">
        <v>134</v>
      </c>
      <c r="C131" s="360"/>
      <c r="D131" s="361"/>
      <c r="E131" s="108"/>
      <c r="F131" s="108"/>
      <c r="G131" s="13"/>
      <c r="H131" s="13"/>
      <c r="I131" s="13"/>
      <c r="J131" s="13"/>
      <c r="K131" s="84">
        <f t="shared" si="17"/>
        <v>0</v>
      </c>
      <c r="L131" s="15">
        <f t="shared" si="18"/>
        <v>0</v>
      </c>
      <c r="M131" s="119">
        <f t="shared" si="19"/>
        <v>0</v>
      </c>
      <c r="N131" s="124">
        <f t="shared" si="19"/>
        <v>0</v>
      </c>
      <c r="O131" s="31">
        <v>0</v>
      </c>
      <c r="P131" s="123">
        <v>0</v>
      </c>
    </row>
    <row r="132" spans="1:16" ht="30.75" thickBot="1">
      <c r="A132" s="73" t="s">
        <v>135</v>
      </c>
      <c r="B132" s="511" t="s">
        <v>136</v>
      </c>
      <c r="C132" s="512"/>
      <c r="D132" s="513"/>
      <c r="E132" s="108"/>
      <c r="F132" s="108">
        <f>6000+E132</f>
        <v>6000</v>
      </c>
      <c r="G132" s="13"/>
      <c r="H132" s="13"/>
      <c r="I132" s="13"/>
      <c r="J132" s="13"/>
      <c r="K132" s="84">
        <f t="shared" si="17"/>
        <v>0</v>
      </c>
      <c r="L132" s="15">
        <f t="shared" si="18"/>
        <v>0</v>
      </c>
      <c r="M132" s="119">
        <f t="shared" si="19"/>
        <v>0</v>
      </c>
      <c r="N132" s="124">
        <f t="shared" si="19"/>
        <v>6000</v>
      </c>
      <c r="O132" s="31">
        <v>0</v>
      </c>
      <c r="P132" s="123">
        <v>0</v>
      </c>
    </row>
    <row r="133" spans="1:19" ht="40.5" customHeight="1" thickBot="1">
      <c r="A133" s="40">
        <v>15</v>
      </c>
      <c r="B133" s="338" t="s">
        <v>137</v>
      </c>
      <c r="C133" s="338"/>
      <c r="D133" s="339"/>
      <c r="E133" s="114">
        <v>0</v>
      </c>
      <c r="F133" s="108"/>
      <c r="G133" s="32"/>
      <c r="H133" s="32"/>
      <c r="I133" s="32"/>
      <c r="J133" s="32"/>
      <c r="K133" s="84">
        <f t="shared" si="17"/>
        <v>0</v>
      </c>
      <c r="L133" s="15">
        <f t="shared" si="18"/>
        <v>0</v>
      </c>
      <c r="M133" s="119">
        <f t="shared" si="19"/>
        <v>0</v>
      </c>
      <c r="N133" s="124">
        <f t="shared" si="19"/>
        <v>0</v>
      </c>
      <c r="O133" s="31">
        <v>0</v>
      </c>
      <c r="P133" s="123">
        <v>0</v>
      </c>
      <c r="Q133" s="1"/>
      <c r="R133" s="1"/>
      <c r="S133" s="1"/>
    </row>
    <row r="134" spans="1:19" ht="29.25" customHeight="1" thickBot="1">
      <c r="A134" s="29" t="s">
        <v>187</v>
      </c>
      <c r="B134" s="390" t="s">
        <v>152</v>
      </c>
      <c r="C134" s="391"/>
      <c r="D134" s="392"/>
      <c r="E134" s="112"/>
      <c r="F134" s="108"/>
      <c r="G134" s="32"/>
      <c r="H134" s="32"/>
      <c r="I134" s="32"/>
      <c r="J134" s="32"/>
      <c r="K134" s="84">
        <f t="shared" si="17"/>
        <v>0</v>
      </c>
      <c r="L134" s="15">
        <f t="shared" si="18"/>
        <v>0</v>
      </c>
      <c r="M134" s="119">
        <f t="shared" si="19"/>
        <v>0</v>
      </c>
      <c r="N134" s="124">
        <f t="shared" si="19"/>
        <v>0</v>
      </c>
      <c r="O134" s="31">
        <v>0</v>
      </c>
      <c r="P134" s="123">
        <v>0</v>
      </c>
      <c r="Q134" s="1"/>
      <c r="R134" s="1"/>
      <c r="S134" s="1"/>
    </row>
    <row r="135" spans="1:19" ht="29.25" customHeight="1" thickBot="1">
      <c r="A135" s="29" t="s">
        <v>188</v>
      </c>
      <c r="B135" s="340" t="s">
        <v>171</v>
      </c>
      <c r="C135" s="341"/>
      <c r="D135" s="342"/>
      <c r="E135" s="112"/>
      <c r="F135" s="108"/>
      <c r="G135" s="32"/>
      <c r="H135" s="32"/>
      <c r="I135" s="32"/>
      <c r="J135" s="32"/>
      <c r="K135" s="84">
        <f t="shared" si="17"/>
        <v>0</v>
      </c>
      <c r="L135" s="15">
        <f t="shared" si="18"/>
        <v>0</v>
      </c>
      <c r="M135" s="119">
        <f t="shared" si="19"/>
        <v>0</v>
      </c>
      <c r="N135" s="124">
        <f t="shared" si="19"/>
        <v>0</v>
      </c>
      <c r="O135" s="31">
        <v>0</v>
      </c>
      <c r="P135" s="123">
        <v>0</v>
      </c>
      <c r="Q135" s="1"/>
      <c r="R135" s="1"/>
      <c r="S135" s="1"/>
    </row>
    <row r="136" spans="1:19" ht="25.5" customHeight="1" thickBot="1">
      <c r="A136" s="41">
        <v>16</v>
      </c>
      <c r="B136" s="338" t="s">
        <v>138</v>
      </c>
      <c r="C136" s="338"/>
      <c r="D136" s="339"/>
      <c r="E136" s="114">
        <v>0</v>
      </c>
      <c r="F136" s="108"/>
      <c r="G136" s="32"/>
      <c r="H136" s="32"/>
      <c r="I136" s="32"/>
      <c r="J136" s="32"/>
      <c r="K136" s="84">
        <f t="shared" si="17"/>
        <v>0</v>
      </c>
      <c r="L136" s="15">
        <f t="shared" si="18"/>
        <v>0</v>
      </c>
      <c r="M136" s="119">
        <f t="shared" si="19"/>
        <v>0</v>
      </c>
      <c r="N136" s="124">
        <f t="shared" si="19"/>
        <v>0</v>
      </c>
      <c r="O136" s="31">
        <v>0</v>
      </c>
      <c r="P136" s="123">
        <v>0</v>
      </c>
      <c r="Q136" s="1"/>
      <c r="R136" s="1"/>
      <c r="S136" s="1"/>
    </row>
    <row r="137" spans="1:19" ht="20.25" customHeight="1" thickBot="1">
      <c r="A137" s="29" t="s">
        <v>189</v>
      </c>
      <c r="B137" s="390" t="s">
        <v>152</v>
      </c>
      <c r="C137" s="391"/>
      <c r="D137" s="392"/>
      <c r="E137" s="112"/>
      <c r="F137" s="108"/>
      <c r="G137" s="32"/>
      <c r="H137" s="32"/>
      <c r="I137" s="32"/>
      <c r="J137" s="32"/>
      <c r="K137" s="84">
        <f t="shared" si="17"/>
        <v>0</v>
      </c>
      <c r="L137" s="15">
        <f t="shared" si="18"/>
        <v>0</v>
      </c>
      <c r="M137" s="119">
        <f t="shared" si="19"/>
        <v>0</v>
      </c>
      <c r="N137" s="124">
        <f t="shared" si="19"/>
        <v>0</v>
      </c>
      <c r="O137" s="31">
        <v>0</v>
      </c>
      <c r="P137" s="123">
        <v>0</v>
      </c>
      <c r="Q137" s="1"/>
      <c r="R137" s="1"/>
      <c r="S137" s="1"/>
    </row>
    <row r="138" spans="1:19" ht="26.25" customHeight="1" thickBot="1">
      <c r="A138" s="29" t="s">
        <v>190</v>
      </c>
      <c r="B138" s="340" t="s">
        <v>171</v>
      </c>
      <c r="C138" s="341"/>
      <c r="D138" s="342"/>
      <c r="E138" s="112"/>
      <c r="F138" s="108"/>
      <c r="G138" s="32"/>
      <c r="H138" s="32"/>
      <c r="I138" s="32"/>
      <c r="J138" s="32"/>
      <c r="K138" s="84">
        <f t="shared" si="17"/>
        <v>0</v>
      </c>
      <c r="L138" s="15">
        <f t="shared" si="18"/>
        <v>0</v>
      </c>
      <c r="M138" s="119">
        <f t="shared" si="19"/>
        <v>0</v>
      </c>
      <c r="N138" s="124">
        <f t="shared" si="19"/>
        <v>0</v>
      </c>
      <c r="O138" s="31">
        <v>0</v>
      </c>
      <c r="P138" s="123">
        <v>0</v>
      </c>
      <c r="Q138" s="1"/>
      <c r="R138" s="1"/>
      <c r="S138" s="1"/>
    </row>
    <row r="139" spans="1:19" ht="37.5" customHeight="1" thickBot="1">
      <c r="A139" s="40">
        <v>17</v>
      </c>
      <c r="B139" s="338" t="s">
        <v>139</v>
      </c>
      <c r="C139" s="338"/>
      <c r="D139" s="339"/>
      <c r="E139" s="114">
        <v>0</v>
      </c>
      <c r="F139" s="108"/>
      <c r="G139" s="32"/>
      <c r="H139" s="32"/>
      <c r="I139" s="32"/>
      <c r="J139" s="32"/>
      <c r="K139" s="84">
        <f t="shared" si="17"/>
        <v>0</v>
      </c>
      <c r="L139" s="15">
        <f t="shared" si="18"/>
        <v>0</v>
      </c>
      <c r="M139" s="119">
        <f t="shared" si="19"/>
        <v>0</v>
      </c>
      <c r="N139" s="124">
        <f t="shared" si="19"/>
        <v>0</v>
      </c>
      <c r="O139" s="31">
        <v>0</v>
      </c>
      <c r="P139" s="123">
        <v>0</v>
      </c>
      <c r="Q139" s="1"/>
      <c r="R139" s="1"/>
      <c r="S139" s="1"/>
    </row>
    <row r="140" spans="1:19" ht="27" customHeight="1" thickBot="1">
      <c r="A140" s="29" t="s">
        <v>191</v>
      </c>
      <c r="B140" s="340" t="s">
        <v>152</v>
      </c>
      <c r="C140" s="341"/>
      <c r="D140" s="342"/>
      <c r="E140" s="112"/>
      <c r="F140" s="108"/>
      <c r="G140" s="32"/>
      <c r="H140" s="32"/>
      <c r="I140" s="32"/>
      <c r="J140" s="32"/>
      <c r="K140" s="84">
        <f t="shared" si="17"/>
        <v>0</v>
      </c>
      <c r="L140" s="15">
        <f t="shared" si="18"/>
        <v>0</v>
      </c>
      <c r="M140" s="119">
        <f t="shared" si="19"/>
        <v>0</v>
      </c>
      <c r="N140" s="124">
        <f t="shared" si="19"/>
        <v>0</v>
      </c>
      <c r="O140" s="31">
        <v>0</v>
      </c>
      <c r="P140" s="123">
        <v>0</v>
      </c>
      <c r="Q140" s="1"/>
      <c r="R140" s="1"/>
      <c r="S140" s="1"/>
    </row>
    <row r="141" spans="1:19" ht="29.25" customHeight="1" thickBot="1">
      <c r="A141" s="29" t="s">
        <v>192</v>
      </c>
      <c r="B141" s="340" t="s">
        <v>171</v>
      </c>
      <c r="C141" s="341"/>
      <c r="D141" s="342"/>
      <c r="E141" s="112"/>
      <c r="F141" s="108"/>
      <c r="G141" s="32"/>
      <c r="H141" s="32"/>
      <c r="I141" s="32"/>
      <c r="J141" s="32"/>
      <c r="K141" s="84">
        <f t="shared" si="17"/>
        <v>0</v>
      </c>
      <c r="L141" s="15">
        <f t="shared" si="18"/>
        <v>0</v>
      </c>
      <c r="M141" s="119">
        <f t="shared" si="19"/>
        <v>0</v>
      </c>
      <c r="N141" s="124">
        <f t="shared" si="19"/>
        <v>0</v>
      </c>
      <c r="O141" s="31">
        <v>0</v>
      </c>
      <c r="P141" s="123">
        <v>0</v>
      </c>
      <c r="Q141" s="1"/>
      <c r="R141" s="1"/>
      <c r="S141" s="1"/>
    </row>
    <row r="142" spans="1:19" ht="22.5" customHeight="1" thickBot="1">
      <c r="A142" s="40">
        <v>18</v>
      </c>
      <c r="B142" s="323" t="s">
        <v>140</v>
      </c>
      <c r="C142" s="323"/>
      <c r="D142" s="324"/>
      <c r="E142" s="114">
        <v>0</v>
      </c>
      <c r="F142" s="108"/>
      <c r="G142" s="32"/>
      <c r="H142" s="32"/>
      <c r="I142" s="32"/>
      <c r="J142" s="32">
        <v>138964.93</v>
      </c>
      <c r="K142" s="83">
        <f>J142</f>
        <v>138964.93</v>
      </c>
      <c r="L142" s="23">
        <f>175976.53+K142</f>
        <v>314941.45999999996</v>
      </c>
      <c r="M142" s="120">
        <f t="shared" si="19"/>
        <v>-138964.93</v>
      </c>
      <c r="N142" s="125">
        <f t="shared" si="19"/>
        <v>-314941.45999999996</v>
      </c>
      <c r="O142" s="26">
        <v>0</v>
      </c>
      <c r="P142" s="27">
        <v>0</v>
      </c>
      <c r="Q142" s="1"/>
      <c r="R142" s="1"/>
      <c r="S142" s="1"/>
    </row>
    <row r="143" spans="1:19" ht="72" thickBot="1">
      <c r="A143" s="43"/>
      <c r="B143" s="325" t="s">
        <v>141</v>
      </c>
      <c r="C143" s="325"/>
      <c r="D143" s="325"/>
      <c r="E143" s="325"/>
      <c r="F143" s="44"/>
      <c r="G143" s="44" t="s">
        <v>4</v>
      </c>
      <c r="H143" s="136" t="s">
        <v>5</v>
      </c>
      <c r="I143" s="326" t="s">
        <v>6</v>
      </c>
      <c r="J143" s="327"/>
      <c r="K143" s="77" t="s">
        <v>11</v>
      </c>
      <c r="L143" s="5" t="s">
        <v>8</v>
      </c>
      <c r="M143" s="5" t="s">
        <v>9</v>
      </c>
      <c r="N143" s="45" t="s">
        <v>10</v>
      </c>
      <c r="O143" s="46"/>
      <c r="P143" s="137"/>
      <c r="Q143" s="1"/>
      <c r="R143" s="1"/>
      <c r="S143" s="1"/>
    </row>
    <row r="144" spans="1:19" ht="23.25" customHeight="1" thickBot="1">
      <c r="A144" s="42"/>
      <c r="B144" s="328" t="s">
        <v>12</v>
      </c>
      <c r="C144" s="328"/>
      <c r="D144" s="328"/>
      <c r="E144" s="329"/>
      <c r="F144" s="47"/>
      <c r="G144" s="47">
        <v>0</v>
      </c>
      <c r="H144" s="3">
        <v>0</v>
      </c>
      <c r="I144" s="330">
        <v>0</v>
      </c>
      <c r="J144" s="331"/>
      <c r="K144" s="86"/>
      <c r="L144" s="3">
        <v>0</v>
      </c>
      <c r="M144" s="132">
        <v>0</v>
      </c>
      <c r="N144" s="132">
        <v>0</v>
      </c>
      <c r="O144" s="3"/>
      <c r="P144" s="3">
        <v>0</v>
      </c>
      <c r="Q144" s="1"/>
      <c r="R144" s="1"/>
      <c r="S144" s="1"/>
    </row>
    <row r="145" spans="1:19" ht="27" customHeight="1" thickBot="1">
      <c r="A145" s="43"/>
      <c r="B145" s="328" t="s">
        <v>13</v>
      </c>
      <c r="C145" s="328"/>
      <c r="D145" s="328"/>
      <c r="E145" s="329"/>
      <c r="F145" s="3"/>
      <c r="G145" s="3">
        <f>F10+G17-G32-G36-G40-G45-G55-G65-G68-G72-G75-G79-G89-G102-G134-G137-G140</f>
        <v>38576.689999999944</v>
      </c>
      <c r="H145" s="3">
        <f>G18+H10-H29</f>
        <v>451933.6499999999</v>
      </c>
      <c r="I145" s="330">
        <f>I10+G19-I104</f>
        <v>42579</v>
      </c>
      <c r="J145" s="331"/>
      <c r="K145" s="86">
        <f>O10+G22-J54</f>
        <v>24112.38</v>
      </c>
      <c r="L145" s="3">
        <f>L10+G23-J142</f>
        <v>110295.35999999999</v>
      </c>
      <c r="M145" s="132">
        <v>0</v>
      </c>
      <c r="N145" s="3">
        <v>0</v>
      </c>
      <c r="O145" s="48"/>
      <c r="P145" s="3">
        <f>SUM(G145:O145)</f>
        <v>667497.0799999998</v>
      </c>
      <c r="Q145" s="1"/>
      <c r="R145" s="1"/>
      <c r="S145" s="18"/>
    </row>
    <row r="146" spans="1:19" ht="24.75" customHeight="1" thickBot="1">
      <c r="A146" s="49"/>
      <c r="B146" s="344" t="s">
        <v>215</v>
      </c>
      <c r="C146" s="344"/>
      <c r="D146" s="344"/>
      <c r="E146" s="345"/>
      <c r="F146" s="346"/>
      <c r="G146" s="346"/>
      <c r="H146" s="346"/>
      <c r="I146" s="346"/>
      <c r="J146" s="346"/>
      <c r="K146" s="346"/>
      <c r="L146" s="346"/>
      <c r="M146" s="346"/>
      <c r="N146" s="347"/>
      <c r="O146" s="348"/>
      <c r="P146" s="50">
        <f>P145</f>
        <v>667497.0799999998</v>
      </c>
      <c r="Q146" s="1"/>
      <c r="R146" s="18">
        <f>P5+L16-L29</f>
        <v>667497.0800000001</v>
      </c>
      <c r="S146" s="18"/>
    </row>
    <row r="147" spans="1:19" ht="15">
      <c r="A147" s="1"/>
      <c r="B147" s="51"/>
      <c r="C147" s="51"/>
      <c r="D147" s="51"/>
      <c r="E147" s="51"/>
      <c r="F147" s="52"/>
      <c r="G147" s="52"/>
      <c r="H147" s="52"/>
      <c r="I147" s="52"/>
      <c r="J147" s="52"/>
      <c r="K147" s="87"/>
      <c r="L147" s="52"/>
      <c r="M147" s="52"/>
      <c r="N147" s="52"/>
      <c r="O147" s="53"/>
      <c r="P147" s="54"/>
      <c r="Q147" s="1"/>
      <c r="R147" s="18"/>
      <c r="S147" s="1"/>
    </row>
    <row r="148" spans="1:19" ht="15">
      <c r="A148" s="1"/>
      <c r="B148" s="343" t="s">
        <v>142</v>
      </c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9" t="s">
        <v>143</v>
      </c>
      <c r="P148" s="349"/>
      <c r="Q148" s="1"/>
      <c r="R148" s="1"/>
      <c r="S148" s="18">
        <v>365352.1499999948</v>
      </c>
    </row>
    <row r="149" spans="1:19" ht="15">
      <c r="A149" s="1"/>
      <c r="B149" s="343" t="s">
        <v>144</v>
      </c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343"/>
      <c r="O149" s="343" t="s">
        <v>145</v>
      </c>
      <c r="P149" s="343"/>
      <c r="Q149" s="1"/>
      <c r="R149" s="1"/>
      <c r="S149" s="1"/>
    </row>
    <row r="150" spans="1:19" ht="15">
      <c r="A150" s="1"/>
      <c r="B150" s="145"/>
      <c r="C150" s="145"/>
      <c r="D150" s="145"/>
      <c r="E150" s="145"/>
      <c r="F150" s="145"/>
      <c r="G150" s="145"/>
      <c r="H150" s="145"/>
      <c r="I150" s="145"/>
      <c r="J150" s="55"/>
      <c r="K150" s="88"/>
      <c r="L150" s="55"/>
      <c r="M150" s="145"/>
      <c r="N150" s="145"/>
      <c r="O150" s="145"/>
      <c r="P150" s="55"/>
      <c r="Q150" s="1"/>
      <c r="R150" s="18"/>
      <c r="S150" s="1"/>
    </row>
    <row r="152" spans="1:19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8"/>
      <c r="S152" s="1"/>
    </row>
    <row r="153" spans="1:19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8"/>
      <c r="S153" s="1"/>
    </row>
    <row r="154" spans="1:19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8"/>
      <c r="O154" s="1"/>
      <c r="P154" s="1"/>
      <c r="Q154" s="1"/>
      <c r="R154" s="1"/>
      <c r="S154" s="1"/>
    </row>
    <row r="155" spans="12:16" ht="15">
      <c r="L155" s="1"/>
      <c r="M155" s="1"/>
      <c r="N155" s="18"/>
      <c r="O155" s="1"/>
      <c r="P155" s="18"/>
    </row>
    <row r="156" spans="12:16" ht="15">
      <c r="L156" s="1"/>
      <c r="M156" s="1"/>
      <c r="N156" s="58"/>
      <c r="O156" s="1"/>
      <c r="P156" s="18"/>
    </row>
    <row r="157" spans="12:16" ht="15">
      <c r="L157" s="57"/>
      <c r="M157" s="1"/>
      <c r="N157" s="1"/>
      <c r="O157" s="1"/>
      <c r="P157" s="1"/>
    </row>
    <row r="158" spans="12:16" ht="15">
      <c r="L158" s="18"/>
      <c r="M158" s="18"/>
      <c r="N158" s="1"/>
      <c r="O158" s="1"/>
      <c r="P158" s="1"/>
    </row>
  </sheetData>
  <sheetProtection/>
  <mergeCells count="199">
    <mergeCell ref="B149:E149"/>
    <mergeCell ref="F149:N149"/>
    <mergeCell ref="O149:P149"/>
    <mergeCell ref="B145:E145"/>
    <mergeCell ref="I145:J145"/>
    <mergeCell ref="B146:E146"/>
    <mergeCell ref="F146:O146"/>
    <mergeCell ref="B148:E148"/>
    <mergeCell ref="F148:N148"/>
    <mergeCell ref="O148:P148"/>
    <mergeCell ref="B141:D141"/>
    <mergeCell ref="B142:D142"/>
    <mergeCell ref="B143:E143"/>
    <mergeCell ref="I143:J143"/>
    <mergeCell ref="B144:E144"/>
    <mergeCell ref="I144:J144"/>
    <mergeCell ref="B135:D135"/>
    <mergeCell ref="B136:D136"/>
    <mergeCell ref="B137:D137"/>
    <mergeCell ref="B138:D138"/>
    <mergeCell ref="B139:D139"/>
    <mergeCell ref="B140:D140"/>
    <mergeCell ref="B129:D129"/>
    <mergeCell ref="B130:D130"/>
    <mergeCell ref="B131:D131"/>
    <mergeCell ref="B132:D132"/>
    <mergeCell ref="B133:D133"/>
    <mergeCell ref="B134:D134"/>
    <mergeCell ref="N124:N125"/>
    <mergeCell ref="O124:O125"/>
    <mergeCell ref="P124:P125"/>
    <mergeCell ref="B126:D126"/>
    <mergeCell ref="B127:D127"/>
    <mergeCell ref="B128:D128"/>
    <mergeCell ref="B119:D119"/>
    <mergeCell ref="B120:D120"/>
    <mergeCell ref="B121:D121"/>
    <mergeCell ref="B122:P123"/>
    <mergeCell ref="B124:D125"/>
    <mergeCell ref="E124:E125"/>
    <mergeCell ref="F124:F125"/>
    <mergeCell ref="G124:K124"/>
    <mergeCell ref="L124:L125"/>
    <mergeCell ref="M124:M125"/>
    <mergeCell ref="B113:D113"/>
    <mergeCell ref="B114:D114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  <mergeCell ref="B112:D112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M85:M86"/>
    <mergeCell ref="N85:N86"/>
    <mergeCell ref="O85:O86"/>
    <mergeCell ref="P85:P86"/>
    <mergeCell ref="B87:D87"/>
    <mergeCell ref="B88:D88"/>
    <mergeCell ref="A85:A86"/>
    <mergeCell ref="B85:D86"/>
    <mergeCell ref="E85:E86"/>
    <mergeCell ref="F85:F86"/>
    <mergeCell ref="G85:K85"/>
    <mergeCell ref="L85:L86"/>
    <mergeCell ref="B75:D75"/>
    <mergeCell ref="B76:D76"/>
    <mergeCell ref="B78:D78"/>
    <mergeCell ref="B80:D80"/>
    <mergeCell ref="B81:D81"/>
    <mergeCell ref="A83:A84"/>
    <mergeCell ref="B83:P84"/>
    <mergeCell ref="B68:D68"/>
    <mergeCell ref="B69:D69"/>
    <mergeCell ref="B70:D70"/>
    <mergeCell ref="B71:D71"/>
    <mergeCell ref="B73:D73"/>
    <mergeCell ref="B74:D74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49:D49"/>
    <mergeCell ref="B50:D50"/>
    <mergeCell ref="B51:D51"/>
    <mergeCell ref="B52:D52"/>
    <mergeCell ref="B54:D54"/>
    <mergeCell ref="B55:D55"/>
    <mergeCell ref="B42:D42"/>
    <mergeCell ref="B43:D43"/>
    <mergeCell ref="B44:D44"/>
    <mergeCell ref="B45:D45"/>
    <mergeCell ref="B46:D46"/>
    <mergeCell ref="B48:D48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M26:M27"/>
    <mergeCell ref="N26:N27"/>
    <mergeCell ref="O26:O27"/>
    <mergeCell ref="P26:P27"/>
    <mergeCell ref="B28:D28"/>
    <mergeCell ref="B29:D29"/>
    <mergeCell ref="B23:D23"/>
    <mergeCell ref="G23:J23"/>
    <mergeCell ref="A24:A25"/>
    <mergeCell ref="B24:P25"/>
    <mergeCell ref="A26:A27"/>
    <mergeCell ref="B26:D27"/>
    <mergeCell ref="E26:E27"/>
    <mergeCell ref="F26:F27"/>
    <mergeCell ref="G26:K26"/>
    <mergeCell ref="L26:L27"/>
    <mergeCell ref="B20:D20"/>
    <mergeCell ref="G20:J20"/>
    <mergeCell ref="B21:D21"/>
    <mergeCell ref="G21:J21"/>
    <mergeCell ref="B22:D22"/>
    <mergeCell ref="G22:J22"/>
    <mergeCell ref="B17:D17"/>
    <mergeCell ref="G17:J17"/>
    <mergeCell ref="B18:D18"/>
    <mergeCell ref="G18:J18"/>
    <mergeCell ref="B19:D19"/>
    <mergeCell ref="G19:J19"/>
    <mergeCell ref="P12:P13"/>
    <mergeCell ref="B14:D14"/>
    <mergeCell ref="G14:J14"/>
    <mergeCell ref="A15:A16"/>
    <mergeCell ref="B15:D16"/>
    <mergeCell ref="G15:J15"/>
    <mergeCell ref="G16:J16"/>
    <mergeCell ref="B11:E11"/>
    <mergeCell ref="F11:P11"/>
    <mergeCell ref="A12:A13"/>
    <mergeCell ref="B12:E13"/>
    <mergeCell ref="F12:F13"/>
    <mergeCell ref="G12:K13"/>
    <mergeCell ref="L12:L13"/>
    <mergeCell ref="M12:M13"/>
    <mergeCell ref="N12:N13"/>
    <mergeCell ref="O12:O13"/>
    <mergeCell ref="B10:E10"/>
    <mergeCell ref="F10:G10"/>
    <mergeCell ref="I10:J10"/>
    <mergeCell ref="B6:E6"/>
    <mergeCell ref="F6:O6"/>
    <mergeCell ref="B7:E7"/>
    <mergeCell ref="F7:P7"/>
    <mergeCell ref="B8:E8"/>
    <mergeCell ref="F8:G8"/>
    <mergeCell ref="I8:J8"/>
    <mergeCell ref="B1:P1"/>
    <mergeCell ref="B2:P2"/>
    <mergeCell ref="B3:P3"/>
    <mergeCell ref="B4:P4"/>
    <mergeCell ref="B5:E5"/>
    <mergeCell ref="F5:O5"/>
    <mergeCell ref="B9:E9"/>
    <mergeCell ref="F9:G9"/>
    <mergeCell ref="I9:J9"/>
  </mergeCells>
  <printOptions horizontalCentered="1"/>
  <pageMargins left="0.15748031496062992" right="0.15748031496062992" top="0.35433070866141736" bottom="0.35433070866141736" header="0.31496062992125984" footer="0.31496062992125984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7"/>
  <sheetViews>
    <sheetView zoomScalePageLayoutView="0" workbookViewId="0" topLeftCell="A91">
      <selection activeCell="M81" sqref="M81"/>
    </sheetView>
  </sheetViews>
  <sheetFormatPr defaultColWidth="9.140625" defaultRowHeight="15"/>
  <cols>
    <col min="1" max="1" width="4.421875" style="0" customWidth="1"/>
    <col min="4" max="4" width="10.421875" style="0" customWidth="1"/>
    <col min="5" max="6" width="12.7109375" style="0" customWidth="1"/>
    <col min="7" max="8" width="11.00390625" style="0" customWidth="1"/>
    <col min="9" max="9" width="10.140625" style="0" customWidth="1"/>
    <col min="10" max="10" width="11.140625" style="0" customWidth="1"/>
    <col min="11" max="11" width="13.00390625" style="0" customWidth="1"/>
    <col min="12" max="12" width="13.28125" style="0" customWidth="1"/>
    <col min="13" max="13" width="12.421875" style="0" customWidth="1"/>
    <col min="14" max="14" width="12.8515625" style="0" customWidth="1"/>
    <col min="15" max="15" width="9.140625" style="0" customWidth="1"/>
    <col min="16" max="16" width="9.421875" style="0" customWidth="1"/>
    <col min="18" max="18" width="10.421875" style="0" bestFit="1" customWidth="1"/>
  </cols>
  <sheetData>
    <row r="1" spans="1:16" ht="15">
      <c r="A1" s="1"/>
      <c r="B1" s="485" t="s">
        <v>0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</row>
    <row r="2" spans="1:16" ht="15">
      <c r="A2" s="1"/>
      <c r="B2" s="486" t="s">
        <v>218</v>
      </c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</row>
    <row r="3" spans="1:16" ht="15.75" thickBot="1">
      <c r="A3" s="1"/>
      <c r="B3" s="487" t="s">
        <v>1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</row>
    <row r="4" spans="1:16" ht="15.75" thickBot="1">
      <c r="A4" s="1"/>
      <c r="B4" s="410" t="s">
        <v>2</v>
      </c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</row>
    <row r="5" spans="1:16" ht="18" customHeight="1" thickBot="1">
      <c r="A5" s="2"/>
      <c r="B5" s="488" t="s">
        <v>193</v>
      </c>
      <c r="C5" s="344"/>
      <c r="D5" s="344"/>
      <c r="E5" s="345"/>
      <c r="F5" s="346"/>
      <c r="G5" s="346"/>
      <c r="H5" s="346"/>
      <c r="I5" s="346"/>
      <c r="J5" s="346"/>
      <c r="K5" s="346"/>
      <c r="L5" s="346"/>
      <c r="M5" s="346"/>
      <c r="N5" s="346"/>
      <c r="O5" s="489"/>
      <c r="P5" s="3">
        <v>365352.15</v>
      </c>
    </row>
    <row r="6" spans="1:16" ht="22.5" customHeight="1" thickBot="1">
      <c r="A6" s="2"/>
      <c r="B6" s="488" t="s">
        <v>219</v>
      </c>
      <c r="C6" s="344"/>
      <c r="D6" s="344"/>
      <c r="E6" s="345"/>
      <c r="F6" s="346"/>
      <c r="G6" s="346"/>
      <c r="H6" s="346"/>
      <c r="I6" s="346"/>
      <c r="J6" s="346"/>
      <c r="K6" s="346"/>
      <c r="L6" s="346"/>
      <c r="M6" s="346"/>
      <c r="N6" s="346"/>
      <c r="O6" s="489"/>
      <c r="P6" s="148">
        <f>P10</f>
        <v>667497.0800000001</v>
      </c>
    </row>
    <row r="7" spans="1:16" ht="15.75" thickBot="1">
      <c r="A7" s="2"/>
      <c r="B7" s="493"/>
      <c r="C7" s="494"/>
      <c r="D7" s="494"/>
      <c r="E7" s="495"/>
      <c r="F7" s="434"/>
      <c r="G7" s="434"/>
      <c r="H7" s="434"/>
      <c r="I7" s="434"/>
      <c r="J7" s="434"/>
      <c r="K7" s="434"/>
      <c r="L7" s="434"/>
      <c r="M7" s="434"/>
      <c r="N7" s="496"/>
      <c r="O7" s="496"/>
      <c r="P7" s="435"/>
    </row>
    <row r="8" spans="1:16" ht="72" thickBot="1">
      <c r="A8" s="4"/>
      <c r="B8" s="488" t="s">
        <v>3</v>
      </c>
      <c r="C8" s="344"/>
      <c r="D8" s="344"/>
      <c r="E8" s="345"/>
      <c r="F8" s="326" t="s">
        <v>4</v>
      </c>
      <c r="G8" s="327"/>
      <c r="H8" s="5" t="s">
        <v>5</v>
      </c>
      <c r="I8" s="326" t="s">
        <v>6</v>
      </c>
      <c r="J8" s="327"/>
      <c r="K8" s="77" t="s">
        <v>7</v>
      </c>
      <c r="L8" s="5" t="s">
        <v>8</v>
      </c>
      <c r="M8" s="150" t="s">
        <v>9</v>
      </c>
      <c r="N8" s="158" t="s">
        <v>10</v>
      </c>
      <c r="O8" s="91" t="s">
        <v>11</v>
      </c>
      <c r="P8" s="19"/>
    </row>
    <row r="9" spans="1:16" ht="15.75" thickBot="1">
      <c r="A9" s="2"/>
      <c r="B9" s="490" t="s">
        <v>12</v>
      </c>
      <c r="C9" s="491"/>
      <c r="D9" s="491"/>
      <c r="E9" s="492"/>
      <c r="F9" s="330">
        <v>0</v>
      </c>
      <c r="G9" s="331"/>
      <c r="H9" s="3">
        <v>0</v>
      </c>
      <c r="I9" s="330">
        <v>0</v>
      </c>
      <c r="J9" s="331"/>
      <c r="K9" s="78">
        <v>0</v>
      </c>
      <c r="L9" s="3">
        <v>0</v>
      </c>
      <c r="M9" s="147">
        <v>0</v>
      </c>
      <c r="N9" s="3">
        <v>0</v>
      </c>
      <c r="O9" s="75">
        <v>0</v>
      </c>
      <c r="P9" s="148">
        <v>0</v>
      </c>
    </row>
    <row r="10" spans="1:16" ht="24" customHeight="1" thickBot="1">
      <c r="A10" s="2"/>
      <c r="B10" s="490" t="s">
        <v>13</v>
      </c>
      <c r="C10" s="491"/>
      <c r="D10" s="491"/>
      <c r="E10" s="492"/>
      <c r="F10" s="330">
        <v>40079.69</v>
      </c>
      <c r="G10" s="331"/>
      <c r="H10" s="3">
        <v>451933.65</v>
      </c>
      <c r="I10" s="330">
        <v>41076</v>
      </c>
      <c r="J10" s="331"/>
      <c r="K10" s="78">
        <v>0</v>
      </c>
      <c r="L10" s="3">
        <v>110295.36</v>
      </c>
      <c r="M10" s="147">
        <v>0</v>
      </c>
      <c r="N10" s="3">
        <v>0</v>
      </c>
      <c r="O10" s="3">
        <v>24112.38</v>
      </c>
      <c r="P10" s="148">
        <f>SUM(F10:O10)</f>
        <v>667497.0800000001</v>
      </c>
    </row>
    <row r="11" spans="1:16" ht="15.75" thickBot="1">
      <c r="A11" s="155"/>
      <c r="B11" s="477"/>
      <c r="C11" s="478"/>
      <c r="D11" s="478"/>
      <c r="E11" s="478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480"/>
    </row>
    <row r="12" spans="1:16" ht="15">
      <c r="A12" s="442"/>
      <c r="B12" s="400" t="s">
        <v>14</v>
      </c>
      <c r="C12" s="401"/>
      <c r="D12" s="401"/>
      <c r="E12" s="402"/>
      <c r="F12" s="393"/>
      <c r="G12" s="481" t="s">
        <v>15</v>
      </c>
      <c r="H12" s="479"/>
      <c r="I12" s="479"/>
      <c r="J12" s="479"/>
      <c r="K12" s="480"/>
      <c r="L12" s="393" t="s">
        <v>16</v>
      </c>
      <c r="M12" s="393" t="s">
        <v>17</v>
      </c>
      <c r="N12" s="393" t="s">
        <v>18</v>
      </c>
      <c r="O12" s="393" t="s">
        <v>19</v>
      </c>
      <c r="P12" s="393" t="s">
        <v>20</v>
      </c>
    </row>
    <row r="13" spans="1:16" ht="15.75" thickBot="1">
      <c r="A13" s="443"/>
      <c r="B13" s="403"/>
      <c r="C13" s="404"/>
      <c r="D13" s="404"/>
      <c r="E13" s="405"/>
      <c r="F13" s="394"/>
      <c r="G13" s="482"/>
      <c r="H13" s="483"/>
      <c r="I13" s="483"/>
      <c r="J13" s="483"/>
      <c r="K13" s="484"/>
      <c r="L13" s="394"/>
      <c r="M13" s="394"/>
      <c r="N13" s="394"/>
      <c r="O13" s="394"/>
      <c r="P13" s="394"/>
    </row>
    <row r="14" spans="1:16" ht="15.75" thickBot="1">
      <c r="A14" s="6"/>
      <c r="B14" s="350" t="s">
        <v>21</v>
      </c>
      <c r="C14" s="351"/>
      <c r="D14" s="352"/>
      <c r="E14" s="7" t="s">
        <v>22</v>
      </c>
      <c r="F14" s="154">
        <v>3</v>
      </c>
      <c r="G14" s="433">
        <v>4</v>
      </c>
      <c r="H14" s="434"/>
      <c r="I14" s="434"/>
      <c r="J14" s="435"/>
      <c r="K14" s="90">
        <v>5</v>
      </c>
      <c r="L14" s="153">
        <v>6</v>
      </c>
      <c r="M14" s="5">
        <v>7</v>
      </c>
      <c r="N14" s="153">
        <v>8</v>
      </c>
      <c r="O14" s="153">
        <v>9</v>
      </c>
      <c r="P14" s="5">
        <v>10</v>
      </c>
    </row>
    <row r="15" spans="1:16" ht="33" customHeight="1" thickBot="1">
      <c r="A15" s="442"/>
      <c r="B15" s="465" t="s">
        <v>23</v>
      </c>
      <c r="C15" s="466"/>
      <c r="D15" s="467"/>
      <c r="E15" s="8" t="s">
        <v>24</v>
      </c>
      <c r="F15" s="8" t="s">
        <v>25</v>
      </c>
      <c r="G15" s="471" t="s">
        <v>26</v>
      </c>
      <c r="H15" s="472"/>
      <c r="I15" s="472"/>
      <c r="J15" s="473"/>
      <c r="K15" s="79" t="s">
        <v>27</v>
      </c>
      <c r="L15" s="9" t="s">
        <v>26</v>
      </c>
      <c r="M15" s="10" t="s">
        <v>28</v>
      </c>
      <c r="N15" s="10" t="s">
        <v>26</v>
      </c>
      <c r="O15" s="10" t="s">
        <v>26</v>
      </c>
      <c r="P15" s="11" t="s">
        <v>26</v>
      </c>
    </row>
    <row r="16" spans="1:16" ht="34.5" customHeight="1" thickBot="1">
      <c r="A16" s="443"/>
      <c r="B16" s="468"/>
      <c r="C16" s="469"/>
      <c r="D16" s="470"/>
      <c r="E16" s="109">
        <f>SUM(E17:E23)</f>
        <v>1508514</v>
      </c>
      <c r="F16" s="110">
        <f>SUM(F17:F23)</f>
        <v>4956440</v>
      </c>
      <c r="G16" s="474">
        <f>SUM(G17:J23)</f>
        <v>1617235.23</v>
      </c>
      <c r="H16" s="475"/>
      <c r="I16" s="475"/>
      <c r="J16" s="476"/>
      <c r="K16" s="156">
        <f>SUM(K17:K23)</f>
        <v>1617235.23</v>
      </c>
      <c r="L16" s="156">
        <f>SUM(L17:L23)</f>
        <v>4548868.48</v>
      </c>
      <c r="M16" s="156">
        <f>SUM(M17:M23)</f>
        <v>-108721.22999999995</v>
      </c>
      <c r="N16" s="156">
        <f>SUM(N17:N23)</f>
        <v>407571.5200000001</v>
      </c>
      <c r="O16" s="12">
        <v>0</v>
      </c>
      <c r="P16" s="12">
        <v>0</v>
      </c>
    </row>
    <row r="17" spans="1:18" ht="54" customHeight="1" thickBot="1">
      <c r="A17" s="100" t="s">
        <v>195</v>
      </c>
      <c r="B17" s="456" t="s">
        <v>146</v>
      </c>
      <c r="C17" s="457"/>
      <c r="D17" s="458"/>
      <c r="E17" s="108">
        <v>860689</v>
      </c>
      <c r="F17" s="108">
        <f>2152278+E17</f>
        <v>3012967</v>
      </c>
      <c r="G17" s="450">
        <v>829156.45</v>
      </c>
      <c r="H17" s="451"/>
      <c r="I17" s="451"/>
      <c r="J17" s="452"/>
      <c r="K17" s="157">
        <f aca="true" t="shared" si="0" ref="K17:K22">G17</f>
        <v>829156.45</v>
      </c>
      <c r="L17" s="15">
        <f>1321425.53+K17</f>
        <v>2150581.98</v>
      </c>
      <c r="M17" s="119">
        <f>E17-K17</f>
        <v>31532.550000000047</v>
      </c>
      <c r="N17" s="124">
        <f>F17-L17</f>
        <v>862385.02</v>
      </c>
      <c r="O17" s="16">
        <v>0</v>
      </c>
      <c r="P17" s="16">
        <v>0</v>
      </c>
      <c r="Q17" s="1"/>
      <c r="R17" s="18">
        <v>365352.1499999948</v>
      </c>
    </row>
    <row r="18" spans="1:18" ht="39.75" customHeight="1" thickBot="1">
      <c r="A18" s="101" t="s">
        <v>196</v>
      </c>
      <c r="B18" s="459" t="s">
        <v>216</v>
      </c>
      <c r="C18" s="460"/>
      <c r="D18" s="461"/>
      <c r="E18" s="104">
        <v>637525</v>
      </c>
      <c r="F18" s="108">
        <f>1275048+E18</f>
        <v>1912573</v>
      </c>
      <c r="G18" s="450">
        <v>612024</v>
      </c>
      <c r="H18" s="451"/>
      <c r="I18" s="451"/>
      <c r="J18" s="452"/>
      <c r="K18" s="157">
        <f t="shared" si="0"/>
        <v>612024</v>
      </c>
      <c r="L18" s="15">
        <f>1224048+K18</f>
        <v>1836072</v>
      </c>
      <c r="M18" s="119">
        <f>E18-K18</f>
        <v>25501</v>
      </c>
      <c r="N18" s="124">
        <f aca="true" t="shared" si="1" ref="M18:N23">F18-L18</f>
        <v>76501</v>
      </c>
      <c r="O18" s="16">
        <v>0</v>
      </c>
      <c r="P18" s="16">
        <v>0</v>
      </c>
      <c r="Q18" s="1"/>
      <c r="R18" s="1"/>
    </row>
    <row r="19" spans="1:18" ht="23.25" customHeight="1" thickBot="1">
      <c r="A19" s="101" t="s">
        <v>197</v>
      </c>
      <c r="B19" s="462" t="s">
        <v>149</v>
      </c>
      <c r="C19" s="463"/>
      <c r="D19" s="464"/>
      <c r="E19" s="105"/>
      <c r="F19" s="108">
        <f>0+E19</f>
        <v>0</v>
      </c>
      <c r="G19" s="450"/>
      <c r="H19" s="451"/>
      <c r="I19" s="451"/>
      <c r="J19" s="452"/>
      <c r="K19" s="157">
        <f t="shared" si="0"/>
        <v>0</v>
      </c>
      <c r="L19" s="15">
        <f>117320+K19</f>
        <v>117320</v>
      </c>
      <c r="M19" s="119">
        <f t="shared" si="1"/>
        <v>0</v>
      </c>
      <c r="N19" s="124">
        <f t="shared" si="1"/>
        <v>-117320</v>
      </c>
      <c r="O19" s="16">
        <v>0</v>
      </c>
      <c r="P19" s="17">
        <v>0</v>
      </c>
      <c r="Q19" s="1"/>
      <c r="R19" s="1"/>
    </row>
    <row r="20" spans="1:18" ht="52.5" customHeight="1" thickBot="1">
      <c r="A20" s="102" t="s">
        <v>198</v>
      </c>
      <c r="B20" s="517" t="s">
        <v>147</v>
      </c>
      <c r="C20" s="518"/>
      <c r="D20" s="519"/>
      <c r="E20" s="106"/>
      <c r="F20" s="108">
        <f>0+E20</f>
        <v>0</v>
      </c>
      <c r="G20" s="450"/>
      <c r="H20" s="451"/>
      <c r="I20" s="451"/>
      <c r="J20" s="452"/>
      <c r="K20" s="157">
        <f t="shared" si="0"/>
        <v>0</v>
      </c>
      <c r="L20" s="15">
        <f>0+K20</f>
        <v>0</v>
      </c>
      <c r="M20" s="119">
        <f t="shared" si="1"/>
        <v>0</v>
      </c>
      <c r="N20" s="124">
        <f t="shared" si="1"/>
        <v>0</v>
      </c>
      <c r="O20" s="16">
        <v>0</v>
      </c>
      <c r="P20" s="16">
        <v>0</v>
      </c>
      <c r="Q20" s="18"/>
      <c r="R20" s="18"/>
    </row>
    <row r="21" spans="1:18" ht="27.75" customHeight="1" thickBot="1">
      <c r="A21" s="103" t="s">
        <v>199</v>
      </c>
      <c r="B21" s="453" t="s">
        <v>148</v>
      </c>
      <c r="C21" s="454"/>
      <c r="D21" s="455"/>
      <c r="E21" s="107"/>
      <c r="F21" s="108">
        <f>0+E21</f>
        <v>0</v>
      </c>
      <c r="G21" s="450"/>
      <c r="H21" s="451"/>
      <c r="I21" s="451"/>
      <c r="J21" s="452"/>
      <c r="K21" s="157">
        <f t="shared" si="0"/>
        <v>0</v>
      </c>
      <c r="L21" s="15">
        <f>0+K21</f>
        <v>0</v>
      </c>
      <c r="M21" s="119">
        <f t="shared" si="1"/>
        <v>0</v>
      </c>
      <c r="N21" s="124">
        <f t="shared" si="1"/>
        <v>0</v>
      </c>
      <c r="O21" s="16">
        <v>0</v>
      </c>
      <c r="P21" s="16">
        <v>0</v>
      </c>
      <c r="Q21" s="18"/>
      <c r="R21" s="1"/>
    </row>
    <row r="22" spans="1:18" ht="37.5" customHeight="1" thickBot="1">
      <c r="A22" s="103" t="s">
        <v>200</v>
      </c>
      <c r="B22" s="456" t="s">
        <v>201</v>
      </c>
      <c r="C22" s="457"/>
      <c r="D22" s="458"/>
      <c r="E22" s="82">
        <v>10300</v>
      </c>
      <c r="F22" s="108">
        <f>20600+E22</f>
        <v>30900</v>
      </c>
      <c r="G22" s="450">
        <v>26259.97</v>
      </c>
      <c r="H22" s="451"/>
      <c r="I22" s="451"/>
      <c r="J22" s="452"/>
      <c r="K22" s="157">
        <f t="shared" si="0"/>
        <v>26259.97</v>
      </c>
      <c r="L22" s="15">
        <f>810+K22</f>
        <v>27069.97</v>
      </c>
      <c r="M22" s="119">
        <f>E22-K22</f>
        <v>-15959.970000000001</v>
      </c>
      <c r="N22" s="124">
        <f t="shared" si="1"/>
        <v>3830.029999999999</v>
      </c>
      <c r="O22" s="16">
        <v>0</v>
      </c>
      <c r="P22" s="16">
        <v>0</v>
      </c>
      <c r="Q22" s="1"/>
      <c r="R22" s="1"/>
    </row>
    <row r="23" spans="1:18" ht="42.75" customHeight="1" thickBot="1">
      <c r="A23" s="103" t="s">
        <v>202</v>
      </c>
      <c r="B23" s="436" t="s">
        <v>140</v>
      </c>
      <c r="C23" s="437"/>
      <c r="D23" s="438"/>
      <c r="E23" s="14"/>
      <c r="F23" s="108"/>
      <c r="G23" s="439">
        <v>149794.81</v>
      </c>
      <c r="H23" s="440"/>
      <c r="I23" s="440"/>
      <c r="J23" s="441"/>
      <c r="K23" s="157">
        <f>G23</f>
        <v>149794.81</v>
      </c>
      <c r="L23" s="15">
        <f>268029.72+K23</f>
        <v>417824.52999999997</v>
      </c>
      <c r="M23" s="119">
        <f t="shared" si="1"/>
        <v>-149794.81</v>
      </c>
      <c r="N23" s="124">
        <f t="shared" si="1"/>
        <v>-417824.52999999997</v>
      </c>
      <c r="O23" s="16">
        <v>0</v>
      </c>
      <c r="P23" s="16">
        <v>0</v>
      </c>
      <c r="Q23" s="1"/>
      <c r="R23" s="1"/>
    </row>
    <row r="24" spans="1:18" ht="15">
      <c r="A24" s="442"/>
      <c r="B24" s="444" t="s">
        <v>30</v>
      </c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3"/>
      <c r="Q24" s="1"/>
      <c r="R24" s="1"/>
    </row>
    <row r="25" spans="1:18" ht="6" customHeight="1" thickBot="1">
      <c r="A25" s="443"/>
      <c r="B25" s="445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5"/>
      <c r="Q25" s="1"/>
      <c r="R25" s="1"/>
    </row>
    <row r="26" spans="1:18" ht="15.75" thickBot="1">
      <c r="A26" s="446"/>
      <c r="B26" s="400" t="s">
        <v>14</v>
      </c>
      <c r="C26" s="401"/>
      <c r="D26" s="402"/>
      <c r="E26" s="406" t="s">
        <v>24</v>
      </c>
      <c r="F26" s="408" t="s">
        <v>25</v>
      </c>
      <c r="G26" s="326" t="s">
        <v>31</v>
      </c>
      <c r="H26" s="410"/>
      <c r="I26" s="410"/>
      <c r="J26" s="410"/>
      <c r="K26" s="327"/>
      <c r="L26" s="393" t="s">
        <v>16</v>
      </c>
      <c r="M26" s="393" t="s">
        <v>17</v>
      </c>
      <c r="N26" s="393" t="s">
        <v>18</v>
      </c>
      <c r="O26" s="393" t="s">
        <v>19</v>
      </c>
      <c r="P26" s="393" t="s">
        <v>20</v>
      </c>
      <c r="Q26" s="1"/>
      <c r="R26" s="1"/>
    </row>
    <row r="27" spans="1:18" ht="101.25" customHeight="1" thickBot="1">
      <c r="A27" s="447"/>
      <c r="B27" s="403"/>
      <c r="C27" s="404"/>
      <c r="D27" s="405"/>
      <c r="E27" s="407"/>
      <c r="F27" s="409"/>
      <c r="G27" s="149" t="s">
        <v>32</v>
      </c>
      <c r="H27" s="149" t="s">
        <v>33</v>
      </c>
      <c r="I27" s="149" t="s">
        <v>34</v>
      </c>
      <c r="J27" s="5" t="s">
        <v>220</v>
      </c>
      <c r="K27" s="77" t="s">
        <v>27</v>
      </c>
      <c r="L27" s="394"/>
      <c r="M27" s="394"/>
      <c r="N27" s="394"/>
      <c r="O27" s="394"/>
      <c r="P27" s="394"/>
      <c r="Q27" s="1"/>
      <c r="R27" s="18">
        <v>365352.1499999948</v>
      </c>
    </row>
    <row r="28" spans="1:18" ht="15.75" thickBot="1">
      <c r="A28" s="6"/>
      <c r="B28" s="350">
        <v>1</v>
      </c>
      <c r="C28" s="351"/>
      <c r="D28" s="352"/>
      <c r="E28" s="7" t="s">
        <v>22</v>
      </c>
      <c r="F28" s="149">
        <v>3</v>
      </c>
      <c r="G28" s="149">
        <v>4</v>
      </c>
      <c r="H28" s="149">
        <v>5</v>
      </c>
      <c r="I28" s="5">
        <v>6</v>
      </c>
      <c r="J28" s="5">
        <v>7</v>
      </c>
      <c r="K28" s="89">
        <v>8</v>
      </c>
      <c r="L28" s="153">
        <v>9</v>
      </c>
      <c r="M28" s="5">
        <v>10</v>
      </c>
      <c r="N28" s="153">
        <v>11</v>
      </c>
      <c r="O28" s="5">
        <v>12</v>
      </c>
      <c r="P28" s="153">
        <v>13</v>
      </c>
      <c r="Q28" s="1"/>
      <c r="R28" s="1"/>
    </row>
    <row r="29" spans="1:18" ht="24.75" customHeight="1" thickBot="1">
      <c r="A29" s="6"/>
      <c r="B29" s="433" t="s">
        <v>23</v>
      </c>
      <c r="C29" s="434"/>
      <c r="D29" s="435"/>
      <c r="E29" s="76">
        <f aca="true" t="shared" si="2" ref="E29:N29">E30+E34+E38+E44+E51+E54+E64+E67+E71+E74+E78+E80+E88+E101+E132+E135+E138+E141</f>
        <v>1508514</v>
      </c>
      <c r="F29" s="76">
        <f t="shared" si="2"/>
        <v>4956440</v>
      </c>
      <c r="G29" s="76">
        <f t="shared" si="2"/>
        <v>826038.02</v>
      </c>
      <c r="H29" s="76">
        <f t="shared" si="2"/>
        <v>662137.58</v>
      </c>
      <c r="I29" s="76">
        <f t="shared" si="2"/>
        <v>0</v>
      </c>
      <c r="J29" s="76">
        <f t="shared" si="2"/>
        <v>211546.41999999998</v>
      </c>
      <c r="K29" s="76">
        <f t="shared" si="2"/>
        <v>1664429.9699999997</v>
      </c>
      <c r="L29" s="76">
        <f t="shared" si="2"/>
        <v>4329210.34</v>
      </c>
      <c r="M29" s="76">
        <f t="shared" si="2"/>
        <v>-155915.96999999988</v>
      </c>
      <c r="N29" s="76">
        <f t="shared" si="2"/>
        <v>627229.6599999997</v>
      </c>
      <c r="O29" s="21">
        <v>0</v>
      </c>
      <c r="P29" s="21">
        <v>0</v>
      </c>
      <c r="Q29" s="1"/>
      <c r="R29" s="18"/>
    </row>
    <row r="30" spans="1:18" ht="15.75" thickBot="1">
      <c r="A30" s="22" t="s">
        <v>21</v>
      </c>
      <c r="B30" s="426" t="s">
        <v>36</v>
      </c>
      <c r="C30" s="338"/>
      <c r="D30" s="339"/>
      <c r="E30" s="111">
        <f>SUM(E31:E32)</f>
        <v>769724</v>
      </c>
      <c r="F30" s="81">
        <f>F31+F32+F33</f>
        <v>2309172</v>
      </c>
      <c r="G30" s="20">
        <f>G31+G32+G33</f>
        <v>134818.52</v>
      </c>
      <c r="H30" s="20">
        <f>H31</f>
        <v>598803.58</v>
      </c>
      <c r="I30" s="20"/>
      <c r="J30" s="20"/>
      <c r="K30" s="81">
        <f>G30+H30</f>
        <v>733622.1</v>
      </c>
      <c r="L30" s="23">
        <f>L31+L32</f>
        <v>1721688.05</v>
      </c>
      <c r="M30" s="120">
        <f>E30-K30</f>
        <v>36101.90000000002</v>
      </c>
      <c r="N30" s="122">
        <f>F30-L30</f>
        <v>587483.95</v>
      </c>
      <c r="O30" s="26">
        <v>0</v>
      </c>
      <c r="P30" s="27">
        <v>0</v>
      </c>
      <c r="Q30" s="18"/>
      <c r="R30" s="18"/>
    </row>
    <row r="31" spans="1:18" ht="15.75" thickBot="1">
      <c r="A31" s="29" t="s">
        <v>150</v>
      </c>
      <c r="B31" s="430" t="s">
        <v>151</v>
      </c>
      <c r="C31" s="431"/>
      <c r="D31" s="432"/>
      <c r="E31" s="112">
        <v>519779</v>
      </c>
      <c r="F31" s="108">
        <f>1039558+E31</f>
        <v>1559337</v>
      </c>
      <c r="G31" s="20"/>
      <c r="H31" s="33">
        <v>598803.58</v>
      </c>
      <c r="I31" s="20"/>
      <c r="J31" s="20"/>
      <c r="K31" s="82">
        <f>H31</f>
        <v>598803.58</v>
      </c>
      <c r="L31" s="15">
        <f>625458.93+K31</f>
        <v>1224262.51</v>
      </c>
      <c r="M31" s="119">
        <f>E31-K31</f>
        <v>-79024.57999999996</v>
      </c>
      <c r="N31" s="121">
        <f>F31-L31</f>
        <v>335074.49</v>
      </c>
      <c r="O31" s="31">
        <v>0</v>
      </c>
      <c r="P31" s="123">
        <v>0</v>
      </c>
      <c r="Q31" s="18"/>
      <c r="R31" s="18"/>
    </row>
    <row r="32" spans="1:18" ht="15.75" thickBot="1">
      <c r="A32" s="29" t="s">
        <v>153</v>
      </c>
      <c r="B32" s="340" t="s">
        <v>152</v>
      </c>
      <c r="C32" s="341"/>
      <c r="D32" s="342"/>
      <c r="E32" s="112">
        <v>249945</v>
      </c>
      <c r="F32" s="108">
        <f>499890+E32</f>
        <v>749835</v>
      </c>
      <c r="G32" s="33">
        <v>134818.52</v>
      </c>
      <c r="H32" s="20"/>
      <c r="I32" s="20"/>
      <c r="J32" s="33"/>
      <c r="K32" s="15">
        <f>0+G32</f>
        <v>134818.52</v>
      </c>
      <c r="L32" s="15">
        <f>362607.02+K32</f>
        <v>497425.54000000004</v>
      </c>
      <c r="M32" s="119">
        <f>E32-K32</f>
        <v>115126.48000000001</v>
      </c>
      <c r="N32" s="121">
        <f>F32-L32</f>
        <v>252409.45999999996</v>
      </c>
      <c r="O32" s="31">
        <v>0</v>
      </c>
      <c r="P32" s="123">
        <v>0</v>
      </c>
      <c r="Q32" s="18"/>
      <c r="R32" s="18"/>
    </row>
    <row r="33" spans="1:18" ht="15.75" thickBot="1">
      <c r="A33" s="29" t="s">
        <v>155</v>
      </c>
      <c r="B33" s="340" t="s">
        <v>154</v>
      </c>
      <c r="C33" s="341"/>
      <c r="D33" s="342"/>
      <c r="E33" s="95"/>
      <c r="F33" s="23"/>
      <c r="G33" s="20"/>
      <c r="H33" s="20"/>
      <c r="I33" s="20"/>
      <c r="J33" s="20"/>
      <c r="K33" s="81"/>
      <c r="L33" s="23"/>
      <c r="M33" s="24"/>
      <c r="N33" s="25"/>
      <c r="O33" s="26"/>
      <c r="P33" s="27"/>
      <c r="Q33" s="18"/>
      <c r="R33" s="18"/>
    </row>
    <row r="34" spans="1:18" ht="34.5" customHeight="1" thickBot="1">
      <c r="A34" s="128" t="s">
        <v>22</v>
      </c>
      <c r="B34" s="395" t="s">
        <v>37</v>
      </c>
      <c r="C34" s="396"/>
      <c r="D34" s="397"/>
      <c r="E34" s="81">
        <f>SUM(E35:E37)</f>
        <v>155484</v>
      </c>
      <c r="F34" s="81">
        <f>F35+F36+F37</f>
        <v>466452</v>
      </c>
      <c r="G34" s="20">
        <f>G35+G36+G37</f>
        <v>85313.79</v>
      </c>
      <c r="H34" s="20">
        <f>H35</f>
        <v>63334</v>
      </c>
      <c r="I34" s="20"/>
      <c r="J34" s="20"/>
      <c r="K34" s="81">
        <f>G34+H34</f>
        <v>148647.78999999998</v>
      </c>
      <c r="L34" s="23">
        <f>L35+L36</f>
        <v>295303.21</v>
      </c>
      <c r="M34" s="120">
        <f aca="true" t="shared" si="3" ref="M34:N36">E34-K34</f>
        <v>6836.210000000021</v>
      </c>
      <c r="N34" s="125">
        <f t="shared" si="3"/>
        <v>171148.78999999998</v>
      </c>
      <c r="O34" s="26">
        <v>0</v>
      </c>
      <c r="P34" s="27">
        <v>0</v>
      </c>
      <c r="Q34" s="1"/>
      <c r="R34" s="1"/>
    </row>
    <row r="35" spans="1:18" ht="15.75" thickBot="1">
      <c r="A35" s="29" t="s">
        <v>156</v>
      </c>
      <c r="B35" s="430" t="s">
        <v>151</v>
      </c>
      <c r="C35" s="431"/>
      <c r="D35" s="432"/>
      <c r="E35" s="82">
        <v>104995</v>
      </c>
      <c r="F35" s="108">
        <f>209990+E35</f>
        <v>314985</v>
      </c>
      <c r="G35" s="20"/>
      <c r="H35" s="33">
        <v>63334</v>
      </c>
      <c r="I35" s="33"/>
      <c r="J35" s="33"/>
      <c r="K35" s="82">
        <f>H35</f>
        <v>63334</v>
      </c>
      <c r="L35" s="15">
        <f>146655.42+K35</f>
        <v>209989.42</v>
      </c>
      <c r="M35" s="119">
        <f t="shared" si="3"/>
        <v>41661</v>
      </c>
      <c r="N35" s="121">
        <f t="shared" si="3"/>
        <v>104995.57999999999</v>
      </c>
      <c r="O35" s="31">
        <v>0</v>
      </c>
      <c r="P35" s="123">
        <v>0</v>
      </c>
      <c r="Q35" s="1"/>
      <c r="R35" s="1"/>
    </row>
    <row r="36" spans="1:18" ht="15.75" thickBot="1">
      <c r="A36" s="29" t="s">
        <v>157</v>
      </c>
      <c r="B36" s="340" t="s">
        <v>152</v>
      </c>
      <c r="C36" s="341"/>
      <c r="D36" s="342"/>
      <c r="E36" s="82">
        <v>50489</v>
      </c>
      <c r="F36" s="108">
        <f>100978+E36</f>
        <v>151467</v>
      </c>
      <c r="G36" s="33">
        <v>85313.79</v>
      </c>
      <c r="H36" s="20"/>
      <c r="I36" s="20"/>
      <c r="J36" s="20"/>
      <c r="K36" s="82">
        <f>G36</f>
        <v>85313.79</v>
      </c>
      <c r="L36" s="15">
        <f>0+K36</f>
        <v>85313.79</v>
      </c>
      <c r="M36" s="119">
        <f t="shared" si="3"/>
        <v>-34824.78999999999</v>
      </c>
      <c r="N36" s="121">
        <f t="shared" si="3"/>
        <v>66153.21</v>
      </c>
      <c r="O36" s="31">
        <v>0</v>
      </c>
      <c r="P36" s="123">
        <v>0</v>
      </c>
      <c r="Q36" s="1"/>
      <c r="R36" s="1"/>
    </row>
    <row r="37" spans="1:18" ht="15.75" thickBot="1">
      <c r="A37" s="29" t="s">
        <v>158</v>
      </c>
      <c r="B37" s="340" t="s">
        <v>154</v>
      </c>
      <c r="C37" s="341"/>
      <c r="D37" s="342"/>
      <c r="E37" s="82"/>
      <c r="F37" s="108"/>
      <c r="G37" s="20"/>
      <c r="H37" s="20"/>
      <c r="I37" s="20"/>
      <c r="J37" s="20"/>
      <c r="K37" s="81"/>
      <c r="L37" s="23"/>
      <c r="M37" s="24"/>
      <c r="N37" s="28"/>
      <c r="O37" s="26"/>
      <c r="P37" s="27"/>
      <c r="Q37" s="1"/>
      <c r="R37" s="1"/>
    </row>
    <row r="38" spans="1:18" ht="18" customHeight="1" thickBot="1">
      <c r="A38" s="22" t="s">
        <v>38</v>
      </c>
      <c r="B38" s="395" t="s">
        <v>39</v>
      </c>
      <c r="C38" s="396"/>
      <c r="D38" s="397"/>
      <c r="E38" s="81">
        <f>SUM(E41:E43)</f>
        <v>4500</v>
      </c>
      <c r="F38" s="114">
        <f>F41+F42+F43</f>
        <v>16500</v>
      </c>
      <c r="G38" s="20">
        <f>G40</f>
        <v>4392.219999999999</v>
      </c>
      <c r="H38" s="20"/>
      <c r="I38" s="20"/>
      <c r="J38" s="20"/>
      <c r="K38" s="23">
        <f>K39+K40</f>
        <v>4392.219999999999</v>
      </c>
      <c r="L38" s="23">
        <f>8400.16+K38</f>
        <v>12792.38</v>
      </c>
      <c r="M38" s="120">
        <f>E38-K38</f>
        <v>107.78000000000065</v>
      </c>
      <c r="N38" s="122">
        <f>F38-L38</f>
        <v>3707.620000000001</v>
      </c>
      <c r="O38" s="26">
        <v>0</v>
      </c>
      <c r="P38" s="27">
        <v>0</v>
      </c>
      <c r="Q38" s="1"/>
      <c r="R38" s="1"/>
    </row>
    <row r="39" spans="1:18" ht="15.75" thickBot="1">
      <c r="A39" s="29" t="s">
        <v>159</v>
      </c>
      <c r="B39" s="430" t="s">
        <v>151</v>
      </c>
      <c r="C39" s="431"/>
      <c r="D39" s="432"/>
      <c r="E39" s="23"/>
      <c r="F39" s="108"/>
      <c r="G39" s="20"/>
      <c r="H39" s="20"/>
      <c r="I39" s="20"/>
      <c r="J39" s="20"/>
      <c r="K39" s="81"/>
      <c r="L39" s="23"/>
      <c r="M39" s="24"/>
      <c r="N39" s="28"/>
      <c r="O39" s="26"/>
      <c r="P39" s="27"/>
      <c r="Q39" s="1"/>
      <c r="R39" s="1"/>
    </row>
    <row r="40" spans="1:18" ht="15.75" thickBot="1">
      <c r="A40" s="29" t="s">
        <v>160</v>
      </c>
      <c r="B40" s="340" t="s">
        <v>152</v>
      </c>
      <c r="C40" s="341"/>
      <c r="D40" s="342"/>
      <c r="E40" s="82">
        <v>4500</v>
      </c>
      <c r="F40" s="108">
        <f>12000+E40</f>
        <v>16500</v>
      </c>
      <c r="G40" s="33">
        <f>G41+G42</f>
        <v>4392.219999999999</v>
      </c>
      <c r="H40" s="20"/>
      <c r="I40" s="20"/>
      <c r="J40" s="33"/>
      <c r="K40" s="15">
        <f>0+G40</f>
        <v>4392.219999999999</v>
      </c>
      <c r="L40" s="15">
        <f>L41+L42+L43</f>
        <v>12792.38</v>
      </c>
      <c r="M40" s="119">
        <f aca="true" t="shared" si="4" ref="M40:N55">E40-K40</f>
        <v>107.78000000000065</v>
      </c>
      <c r="N40" s="121">
        <f t="shared" si="4"/>
        <v>3707.620000000001</v>
      </c>
      <c r="O40" s="31">
        <v>0</v>
      </c>
      <c r="P40" s="123">
        <v>0</v>
      </c>
      <c r="Q40" s="1"/>
      <c r="R40" s="1"/>
    </row>
    <row r="41" spans="1:18" ht="15.75" thickBot="1">
      <c r="A41" s="29" t="s">
        <v>40</v>
      </c>
      <c r="B41" s="427" t="s">
        <v>41</v>
      </c>
      <c r="C41" s="428"/>
      <c r="D41" s="429"/>
      <c r="E41" s="108">
        <v>2281</v>
      </c>
      <c r="F41" s="108">
        <f>4562+E41</f>
        <v>6843</v>
      </c>
      <c r="G41" s="33">
        <v>2173.22</v>
      </c>
      <c r="H41" s="20"/>
      <c r="I41" s="20"/>
      <c r="J41" s="33"/>
      <c r="K41" s="15">
        <f>0+G41</f>
        <v>2173.22</v>
      </c>
      <c r="L41" s="15">
        <f>3962.16+K41</f>
        <v>6135.379999999999</v>
      </c>
      <c r="M41" s="119">
        <f t="shared" si="4"/>
        <v>107.7800000000002</v>
      </c>
      <c r="N41" s="121">
        <f t="shared" si="4"/>
        <v>707.6200000000008</v>
      </c>
      <c r="O41" s="31">
        <v>0</v>
      </c>
      <c r="P41" s="123">
        <v>0</v>
      </c>
      <c r="Q41" s="1"/>
      <c r="R41" s="1"/>
    </row>
    <row r="42" spans="1:18" ht="15.75" thickBot="1">
      <c r="A42" s="29" t="s">
        <v>42</v>
      </c>
      <c r="B42" s="427" t="s">
        <v>43</v>
      </c>
      <c r="C42" s="428"/>
      <c r="D42" s="429"/>
      <c r="E42" s="108">
        <v>2219</v>
      </c>
      <c r="F42" s="108">
        <f>4438+E42</f>
        <v>6657</v>
      </c>
      <c r="G42" s="33">
        <v>2219</v>
      </c>
      <c r="H42" s="20"/>
      <c r="I42" s="20"/>
      <c r="J42" s="33"/>
      <c r="K42" s="15">
        <f>0+G42</f>
        <v>2219</v>
      </c>
      <c r="L42" s="15">
        <f>4438+K42</f>
        <v>6657</v>
      </c>
      <c r="M42" s="119">
        <f t="shared" si="4"/>
        <v>0</v>
      </c>
      <c r="N42" s="121">
        <f t="shared" si="4"/>
        <v>0</v>
      </c>
      <c r="O42" s="31">
        <v>0</v>
      </c>
      <c r="P42" s="123">
        <v>0</v>
      </c>
      <c r="Q42" s="1"/>
      <c r="R42" s="1"/>
    </row>
    <row r="43" spans="1:18" ht="15.75" thickBot="1">
      <c r="A43" s="29" t="s">
        <v>44</v>
      </c>
      <c r="B43" s="427" t="s">
        <v>45</v>
      </c>
      <c r="C43" s="428"/>
      <c r="D43" s="429"/>
      <c r="E43" s="108"/>
      <c r="F43" s="108">
        <f>3000+E43</f>
        <v>3000</v>
      </c>
      <c r="G43" s="13"/>
      <c r="H43" s="13"/>
      <c r="I43" s="13"/>
      <c r="J43" s="20"/>
      <c r="K43" s="15">
        <f>0+J43</f>
        <v>0</v>
      </c>
      <c r="L43" s="15">
        <f>0+K43</f>
        <v>0</v>
      </c>
      <c r="M43" s="119">
        <f t="shared" si="4"/>
        <v>0</v>
      </c>
      <c r="N43" s="121">
        <f t="shared" si="4"/>
        <v>3000</v>
      </c>
      <c r="O43" s="31">
        <v>0</v>
      </c>
      <c r="P43" s="123">
        <v>0</v>
      </c>
      <c r="Q43" s="1"/>
      <c r="R43" s="18"/>
    </row>
    <row r="44" spans="1:18" ht="38.25" customHeight="1" thickBot="1">
      <c r="A44" s="22" t="s">
        <v>46</v>
      </c>
      <c r="B44" s="395" t="s">
        <v>47</v>
      </c>
      <c r="C44" s="396"/>
      <c r="D44" s="397"/>
      <c r="E44" s="81">
        <f>SUM(E47:E49)</f>
        <v>172600</v>
      </c>
      <c r="F44" s="114">
        <f>432600+E44</f>
        <v>605200</v>
      </c>
      <c r="G44" s="23">
        <f>G45+G46+G47</f>
        <v>223139.5</v>
      </c>
      <c r="H44" s="13"/>
      <c r="I44" s="32"/>
      <c r="J44" s="20"/>
      <c r="K44" s="23">
        <f>K45+K46+K47</f>
        <v>223139.5</v>
      </c>
      <c r="L44" s="23">
        <f>360881+K44</f>
        <v>584020.5</v>
      </c>
      <c r="M44" s="120">
        <f t="shared" si="4"/>
        <v>-50539.5</v>
      </c>
      <c r="N44" s="122">
        <f t="shared" si="4"/>
        <v>21179.5</v>
      </c>
      <c r="O44" s="26">
        <v>0</v>
      </c>
      <c r="P44" s="27">
        <v>0</v>
      </c>
      <c r="Q44" s="1"/>
      <c r="R44" s="1"/>
    </row>
    <row r="45" spans="1:18" ht="15.75" thickBot="1">
      <c r="A45" s="29" t="s">
        <v>161</v>
      </c>
      <c r="B45" s="340" t="s">
        <v>152</v>
      </c>
      <c r="C45" s="341"/>
      <c r="D45" s="342"/>
      <c r="E45" s="112">
        <v>172600</v>
      </c>
      <c r="F45" s="108">
        <f>432600+E45</f>
        <v>605200</v>
      </c>
      <c r="G45" s="15">
        <f>G48+G49</f>
        <v>223139.5</v>
      </c>
      <c r="H45" s="13"/>
      <c r="I45" s="32"/>
      <c r="J45" s="33"/>
      <c r="K45" s="15">
        <f>0+G45</f>
        <v>223139.5</v>
      </c>
      <c r="L45" s="15">
        <f>L48+L49</f>
        <v>584020.5</v>
      </c>
      <c r="M45" s="119">
        <f t="shared" si="4"/>
        <v>-50539.5</v>
      </c>
      <c r="N45" s="124">
        <f t="shared" si="4"/>
        <v>21179.5</v>
      </c>
      <c r="O45" s="31">
        <v>0</v>
      </c>
      <c r="P45" s="123">
        <v>0</v>
      </c>
      <c r="Q45" s="1"/>
      <c r="R45" s="1"/>
    </row>
    <row r="46" spans="1:18" ht="15.75" thickBot="1">
      <c r="A46" s="29" t="s">
        <v>162</v>
      </c>
      <c r="B46" s="430" t="s">
        <v>151</v>
      </c>
      <c r="C46" s="431"/>
      <c r="D46" s="432"/>
      <c r="E46" s="94"/>
      <c r="F46" s="108"/>
      <c r="G46" s="23"/>
      <c r="H46" s="13"/>
      <c r="I46" s="32"/>
      <c r="J46" s="33"/>
      <c r="K46" s="15">
        <f aca="true" t="shared" si="5" ref="K46:K53">0+G46</f>
        <v>0</v>
      </c>
      <c r="L46" s="15">
        <f aca="true" t="shared" si="6" ref="L46:L66">0+K46</f>
        <v>0</v>
      </c>
      <c r="M46" s="119">
        <f t="shared" si="4"/>
        <v>0</v>
      </c>
      <c r="N46" s="121">
        <f t="shared" si="4"/>
        <v>0</v>
      </c>
      <c r="O46" s="31">
        <v>0</v>
      </c>
      <c r="P46" s="123">
        <v>0</v>
      </c>
      <c r="Q46" s="1"/>
      <c r="R46" s="1"/>
    </row>
    <row r="47" spans="1:18" ht="15.75" thickBot="1">
      <c r="A47" s="29" t="s">
        <v>163</v>
      </c>
      <c r="B47" s="96" t="s">
        <v>154</v>
      </c>
      <c r="C47" s="97"/>
      <c r="D47" s="97"/>
      <c r="E47" s="126"/>
      <c r="F47" s="108"/>
      <c r="G47" s="23"/>
      <c r="H47" s="13"/>
      <c r="I47" s="32"/>
      <c r="J47" s="33"/>
      <c r="K47" s="15">
        <f t="shared" si="5"/>
        <v>0</v>
      </c>
      <c r="L47" s="15">
        <f t="shared" si="6"/>
        <v>0</v>
      </c>
      <c r="M47" s="119">
        <f t="shared" si="4"/>
        <v>0</v>
      </c>
      <c r="N47" s="121">
        <f t="shared" si="4"/>
        <v>0</v>
      </c>
      <c r="O47" s="31">
        <v>0</v>
      </c>
      <c r="P47" s="123">
        <v>0</v>
      </c>
      <c r="Q47" s="1"/>
      <c r="R47" s="161"/>
    </row>
    <row r="48" spans="1:18" ht="15.75" thickBot="1">
      <c r="A48" s="29" t="s">
        <v>48</v>
      </c>
      <c r="B48" s="359" t="s">
        <v>49</v>
      </c>
      <c r="C48" s="360"/>
      <c r="D48" s="361"/>
      <c r="E48" s="108">
        <v>160000</v>
      </c>
      <c r="F48" s="108">
        <f>420000+E48</f>
        <v>580000</v>
      </c>
      <c r="G48" s="13">
        <v>220993</v>
      </c>
      <c r="H48" s="13"/>
      <c r="I48" s="13"/>
      <c r="J48" s="33"/>
      <c r="K48" s="15">
        <f t="shared" si="5"/>
        <v>220993</v>
      </c>
      <c r="L48" s="15">
        <f>358758+K48</f>
        <v>579751</v>
      </c>
      <c r="M48" s="119">
        <f t="shared" si="4"/>
        <v>-60993</v>
      </c>
      <c r="N48" s="121">
        <f t="shared" si="4"/>
        <v>249</v>
      </c>
      <c r="O48" s="31">
        <v>0</v>
      </c>
      <c r="P48" s="123">
        <v>0</v>
      </c>
      <c r="Q48" s="1"/>
      <c r="R48" s="18"/>
    </row>
    <row r="49" spans="1:18" ht="15.75" thickBot="1">
      <c r="A49" s="29" t="s">
        <v>50</v>
      </c>
      <c r="B49" s="359" t="s">
        <v>51</v>
      </c>
      <c r="C49" s="360"/>
      <c r="D49" s="361"/>
      <c r="E49" s="108">
        <v>12600</v>
      </c>
      <c r="F49" s="108">
        <f>12600+E49</f>
        <v>25200</v>
      </c>
      <c r="G49" s="13">
        <v>2146.5</v>
      </c>
      <c r="H49" s="13"/>
      <c r="I49" s="13"/>
      <c r="J49" s="33"/>
      <c r="K49" s="15">
        <f t="shared" si="5"/>
        <v>2146.5</v>
      </c>
      <c r="L49" s="15">
        <f>2123+K49</f>
        <v>4269.5</v>
      </c>
      <c r="M49" s="119">
        <f t="shared" si="4"/>
        <v>10453.5</v>
      </c>
      <c r="N49" s="121">
        <f t="shared" si="4"/>
        <v>20930.5</v>
      </c>
      <c r="O49" s="31">
        <v>0</v>
      </c>
      <c r="P49" s="123">
        <v>0</v>
      </c>
      <c r="Q49" s="1"/>
      <c r="R49" s="1"/>
    </row>
    <row r="50" spans="1:18" ht="15.75" thickBot="1">
      <c r="A50" s="29" t="s">
        <v>52</v>
      </c>
      <c r="B50" s="359" t="s">
        <v>53</v>
      </c>
      <c r="C50" s="360"/>
      <c r="D50" s="361"/>
      <c r="E50" s="13">
        <v>0</v>
      </c>
      <c r="F50" s="108">
        <f>0+E50</f>
        <v>0</v>
      </c>
      <c r="G50" s="13"/>
      <c r="H50" s="13"/>
      <c r="I50" s="13"/>
      <c r="J50" s="20"/>
      <c r="K50" s="15">
        <f t="shared" si="5"/>
        <v>0</v>
      </c>
      <c r="L50" s="15">
        <f t="shared" si="6"/>
        <v>0</v>
      </c>
      <c r="M50" s="119">
        <f t="shared" si="4"/>
        <v>0</v>
      </c>
      <c r="N50" s="121">
        <f t="shared" si="4"/>
        <v>0</v>
      </c>
      <c r="O50" s="31">
        <v>0</v>
      </c>
      <c r="P50" s="123">
        <v>0</v>
      </c>
      <c r="Q50" s="1"/>
      <c r="R50" s="1"/>
    </row>
    <row r="51" spans="1:18" ht="34.5" customHeight="1" thickBot="1">
      <c r="A51" s="22" t="s">
        <v>54</v>
      </c>
      <c r="B51" s="425" t="s">
        <v>55</v>
      </c>
      <c r="C51" s="323"/>
      <c r="D51" s="324"/>
      <c r="E51" s="23">
        <v>0</v>
      </c>
      <c r="F51" s="23">
        <v>0</v>
      </c>
      <c r="G51" s="23"/>
      <c r="H51" s="23"/>
      <c r="I51" s="23"/>
      <c r="J51" s="20"/>
      <c r="K51" s="15">
        <f t="shared" si="5"/>
        <v>0</v>
      </c>
      <c r="L51" s="15">
        <f t="shared" si="6"/>
        <v>0</v>
      </c>
      <c r="M51" s="119">
        <f t="shared" si="4"/>
        <v>0</v>
      </c>
      <c r="N51" s="121">
        <f t="shared" si="4"/>
        <v>0</v>
      </c>
      <c r="O51" s="31">
        <v>0</v>
      </c>
      <c r="P51" s="123">
        <v>0</v>
      </c>
      <c r="Q51" s="1"/>
      <c r="R51" s="1"/>
    </row>
    <row r="52" spans="1:18" ht="26.25" customHeight="1" thickBot="1">
      <c r="A52" s="29" t="s">
        <v>164</v>
      </c>
      <c r="B52" s="340" t="s">
        <v>152</v>
      </c>
      <c r="C52" s="341"/>
      <c r="D52" s="342"/>
      <c r="E52" s="23"/>
      <c r="F52" s="23"/>
      <c r="G52" s="23"/>
      <c r="H52" s="23"/>
      <c r="I52" s="23"/>
      <c r="J52" s="20"/>
      <c r="K52" s="15">
        <f t="shared" si="5"/>
        <v>0</v>
      </c>
      <c r="L52" s="15">
        <f t="shared" si="6"/>
        <v>0</v>
      </c>
      <c r="M52" s="119">
        <f t="shared" si="4"/>
        <v>0</v>
      </c>
      <c r="N52" s="121">
        <f t="shared" si="4"/>
        <v>0</v>
      </c>
      <c r="O52" s="31">
        <v>0</v>
      </c>
      <c r="P52" s="123">
        <v>0</v>
      </c>
      <c r="Q52" s="1"/>
      <c r="R52" s="1"/>
    </row>
    <row r="53" spans="1:18" ht="20.25" customHeight="1" thickBot="1">
      <c r="A53" s="29" t="s">
        <v>165</v>
      </c>
      <c r="B53" s="96" t="s">
        <v>154</v>
      </c>
      <c r="C53" s="97"/>
      <c r="D53" s="97"/>
      <c r="E53" s="23"/>
      <c r="F53" s="23"/>
      <c r="G53" s="23"/>
      <c r="H53" s="23"/>
      <c r="I53" s="23"/>
      <c r="J53" s="20"/>
      <c r="K53" s="15">
        <f t="shared" si="5"/>
        <v>0</v>
      </c>
      <c r="L53" s="15">
        <f t="shared" si="6"/>
        <v>0</v>
      </c>
      <c r="M53" s="119">
        <f t="shared" si="4"/>
        <v>0</v>
      </c>
      <c r="N53" s="121">
        <f t="shared" si="4"/>
        <v>0</v>
      </c>
      <c r="O53" s="31">
        <v>0</v>
      </c>
      <c r="P53" s="123">
        <v>0</v>
      </c>
      <c r="Q53" s="1"/>
      <c r="R53" s="1"/>
    </row>
    <row r="54" spans="1:18" ht="35.25" customHeight="1" thickBot="1">
      <c r="A54" s="22" t="s">
        <v>56</v>
      </c>
      <c r="B54" s="395" t="s">
        <v>57</v>
      </c>
      <c r="C54" s="396"/>
      <c r="D54" s="397"/>
      <c r="E54" s="81">
        <f>SUM(E59:E63)</f>
        <v>245600</v>
      </c>
      <c r="F54" s="114">
        <f>581900+E54</f>
        <v>827500</v>
      </c>
      <c r="G54" s="23">
        <f>G55+G56+G57+G58</f>
        <v>291212.17999999993</v>
      </c>
      <c r="H54" s="23"/>
      <c r="I54" s="23"/>
      <c r="J54" s="23">
        <f>J55+J56+J57+J58</f>
        <v>35292.05</v>
      </c>
      <c r="K54" s="23">
        <f>K55+K56+K57</f>
        <v>291212.17999999993</v>
      </c>
      <c r="L54" s="23">
        <f>L55+L56+L57+L58</f>
        <v>894645.75</v>
      </c>
      <c r="M54" s="120">
        <f t="shared" si="4"/>
        <v>-45612.179999999935</v>
      </c>
      <c r="N54" s="125">
        <f t="shared" si="4"/>
        <v>-67145.75</v>
      </c>
      <c r="O54" s="26">
        <v>0</v>
      </c>
      <c r="P54" s="27">
        <v>0</v>
      </c>
      <c r="Q54" s="1"/>
      <c r="R54" s="18">
        <f>L55+L58-L54</f>
        <v>0</v>
      </c>
    </row>
    <row r="55" spans="1:18" ht="19.5" customHeight="1" thickBot="1">
      <c r="A55" s="29" t="s">
        <v>166</v>
      </c>
      <c r="B55" s="390" t="s">
        <v>152</v>
      </c>
      <c r="C55" s="391"/>
      <c r="D55" s="392"/>
      <c r="E55" s="113">
        <f>E59+E60+E62+E63-E58</f>
        <v>235300</v>
      </c>
      <c r="F55" s="108">
        <f>561300+E55</f>
        <v>796600</v>
      </c>
      <c r="G55" s="15">
        <f>G59+G60+G62+G63</f>
        <v>291212.17999999993</v>
      </c>
      <c r="H55" s="23"/>
      <c r="I55" s="23"/>
      <c r="J55" s="15"/>
      <c r="K55" s="15">
        <f>0+G55</f>
        <v>291212.17999999993</v>
      </c>
      <c r="L55" s="15">
        <f>556451.78+K55</f>
        <v>847663.96</v>
      </c>
      <c r="M55" s="119">
        <f t="shared" si="4"/>
        <v>-55912.179999999935</v>
      </c>
      <c r="N55" s="121">
        <f t="shared" si="4"/>
        <v>-51063.95999999996</v>
      </c>
      <c r="O55" s="31">
        <v>0</v>
      </c>
      <c r="P55" s="123">
        <v>0</v>
      </c>
      <c r="Q55" s="1"/>
      <c r="R55" s="18"/>
    </row>
    <row r="56" spans="1:18" ht="27.75" customHeight="1" thickBot="1">
      <c r="A56" s="29" t="s">
        <v>167</v>
      </c>
      <c r="B56" s="430" t="s">
        <v>168</v>
      </c>
      <c r="C56" s="431"/>
      <c r="D56" s="432"/>
      <c r="E56" s="112"/>
      <c r="F56" s="108"/>
      <c r="G56" s="23"/>
      <c r="H56" s="23"/>
      <c r="I56" s="23"/>
      <c r="J56" s="23"/>
      <c r="K56" s="15">
        <f aca="true" t="shared" si="7" ref="K56:K61">0+G56</f>
        <v>0</v>
      </c>
      <c r="L56" s="15">
        <f t="shared" si="6"/>
        <v>0</v>
      </c>
      <c r="M56" s="119">
        <f aca="true" t="shared" si="8" ref="M56:N71">E56-K56</f>
        <v>0</v>
      </c>
      <c r="N56" s="121">
        <f t="shared" si="8"/>
        <v>0</v>
      </c>
      <c r="O56" s="31">
        <v>0</v>
      </c>
      <c r="P56" s="123">
        <v>0</v>
      </c>
      <c r="Q56" s="1"/>
      <c r="R56" s="18"/>
    </row>
    <row r="57" spans="1:18" ht="15.75" thickBot="1">
      <c r="A57" s="29" t="s">
        <v>203</v>
      </c>
      <c r="B57" s="503" t="s">
        <v>154</v>
      </c>
      <c r="C57" s="504"/>
      <c r="D57" s="504"/>
      <c r="E57" s="127"/>
      <c r="F57" s="108"/>
      <c r="G57" s="23"/>
      <c r="H57" s="23"/>
      <c r="I57" s="23"/>
      <c r="J57" s="23"/>
      <c r="K57" s="15">
        <f t="shared" si="7"/>
        <v>0</v>
      </c>
      <c r="L57" s="15">
        <f t="shared" si="6"/>
        <v>0</v>
      </c>
      <c r="M57" s="119">
        <f t="shared" si="8"/>
        <v>0</v>
      </c>
      <c r="N57" s="121">
        <f t="shared" si="8"/>
        <v>0</v>
      </c>
      <c r="O57" s="31">
        <v>0</v>
      </c>
      <c r="P57" s="123">
        <v>0</v>
      </c>
      <c r="Q57" s="1"/>
      <c r="R57" s="18"/>
    </row>
    <row r="58" spans="1:18" ht="24" customHeight="1" thickBot="1">
      <c r="A58" s="29" t="s">
        <v>204</v>
      </c>
      <c r="B58" s="497" t="s">
        <v>201</v>
      </c>
      <c r="C58" s="498"/>
      <c r="D58" s="499"/>
      <c r="E58" s="112">
        <v>10300</v>
      </c>
      <c r="F58" s="108">
        <f>20600+E58</f>
        <v>30900</v>
      </c>
      <c r="G58" s="15"/>
      <c r="H58" s="23"/>
      <c r="I58" s="23"/>
      <c r="J58" s="15">
        <f>J62+J63+J59</f>
        <v>35292.05</v>
      </c>
      <c r="K58" s="15">
        <f>0+J58</f>
        <v>35292.05</v>
      </c>
      <c r="L58" s="15">
        <f>11689.74+K58</f>
        <v>46981.79</v>
      </c>
      <c r="M58" s="119">
        <f t="shared" si="8"/>
        <v>-24992.050000000003</v>
      </c>
      <c r="N58" s="121">
        <f t="shared" si="8"/>
        <v>-16081.79</v>
      </c>
      <c r="O58" s="31">
        <v>0</v>
      </c>
      <c r="P58" s="123">
        <v>0</v>
      </c>
      <c r="Q58" s="1"/>
      <c r="R58" s="18"/>
    </row>
    <row r="59" spans="1:18" ht="21" customHeight="1" thickBot="1">
      <c r="A59" s="29" t="s">
        <v>58</v>
      </c>
      <c r="B59" s="419" t="s">
        <v>59</v>
      </c>
      <c r="C59" s="420"/>
      <c r="D59" s="421"/>
      <c r="E59" s="108">
        <v>55000</v>
      </c>
      <c r="F59" s="108">
        <f>120000+E59</f>
        <v>175000</v>
      </c>
      <c r="G59" s="13">
        <v>78922.1</v>
      </c>
      <c r="H59" s="13"/>
      <c r="I59" s="13"/>
      <c r="J59" s="15">
        <v>35292.05</v>
      </c>
      <c r="K59" s="15">
        <f>J59+G59</f>
        <v>114214.15000000001</v>
      </c>
      <c r="L59" s="15">
        <f>118462.1+K59</f>
        <v>232676.25</v>
      </c>
      <c r="M59" s="119">
        <f t="shared" si="8"/>
        <v>-59214.15000000001</v>
      </c>
      <c r="N59" s="121">
        <f t="shared" si="8"/>
        <v>-57676.25</v>
      </c>
      <c r="O59" s="31">
        <v>0</v>
      </c>
      <c r="P59" s="123">
        <v>0</v>
      </c>
      <c r="Q59" s="1"/>
      <c r="R59" s="161"/>
    </row>
    <row r="60" spans="1:18" ht="20.25" customHeight="1" thickBot="1">
      <c r="A60" s="29" t="s">
        <v>60</v>
      </c>
      <c r="B60" s="387" t="s">
        <v>61</v>
      </c>
      <c r="C60" s="388"/>
      <c r="D60" s="388"/>
      <c r="E60" s="108">
        <v>180000</v>
      </c>
      <c r="F60" s="108">
        <f>447000+E60</f>
        <v>627000</v>
      </c>
      <c r="G60" s="13">
        <v>201934.49</v>
      </c>
      <c r="H60" s="13"/>
      <c r="I60" s="13"/>
      <c r="J60" s="15"/>
      <c r="K60" s="15">
        <f t="shared" si="7"/>
        <v>201934.49</v>
      </c>
      <c r="L60" s="15">
        <f>433860.16+K60</f>
        <v>635794.6499999999</v>
      </c>
      <c r="M60" s="119">
        <f t="shared" si="8"/>
        <v>-21934.48999999999</v>
      </c>
      <c r="N60" s="121">
        <f t="shared" si="8"/>
        <v>-8794.649999999907</v>
      </c>
      <c r="O60" s="31">
        <v>0</v>
      </c>
      <c r="P60" s="123">
        <v>0</v>
      </c>
      <c r="Q60" s="1"/>
      <c r="R60" s="18"/>
    </row>
    <row r="61" spans="1:18" ht="19.5" customHeight="1" thickBot="1">
      <c r="A61" s="29" t="s">
        <v>60</v>
      </c>
      <c r="B61" s="422" t="s">
        <v>205</v>
      </c>
      <c r="C61" s="423"/>
      <c r="D61" s="424"/>
      <c r="E61" s="108"/>
      <c r="F61" s="108"/>
      <c r="G61" s="13"/>
      <c r="H61" s="13"/>
      <c r="I61" s="13"/>
      <c r="J61" s="15"/>
      <c r="K61" s="15">
        <f t="shared" si="7"/>
        <v>0</v>
      </c>
      <c r="L61" s="15">
        <f t="shared" si="6"/>
        <v>0</v>
      </c>
      <c r="M61" s="119">
        <f t="shared" si="8"/>
        <v>0</v>
      </c>
      <c r="N61" s="121">
        <f t="shared" si="8"/>
        <v>0</v>
      </c>
      <c r="O61" s="31">
        <v>0</v>
      </c>
      <c r="P61" s="123">
        <v>0</v>
      </c>
      <c r="Q61" s="1"/>
      <c r="R61" s="1"/>
    </row>
    <row r="62" spans="1:18" ht="20.25" customHeight="1" thickBot="1">
      <c r="A62" s="29" t="s">
        <v>62</v>
      </c>
      <c r="B62" s="387" t="s">
        <v>63</v>
      </c>
      <c r="C62" s="388"/>
      <c r="D62" s="389"/>
      <c r="E62" s="108">
        <v>5600</v>
      </c>
      <c r="F62" s="108">
        <f>7900+E62</f>
        <v>13500</v>
      </c>
      <c r="G62" s="164">
        <v>5543.24</v>
      </c>
      <c r="H62" s="60"/>
      <c r="I62" s="13"/>
      <c r="J62" s="13"/>
      <c r="K62" s="15">
        <f>0+J62+G62</f>
        <v>5543.24</v>
      </c>
      <c r="L62" s="15">
        <f>8467.89+K62</f>
        <v>14011.13</v>
      </c>
      <c r="M62" s="119">
        <f t="shared" si="8"/>
        <v>56.76000000000022</v>
      </c>
      <c r="N62" s="121">
        <f t="shared" si="8"/>
        <v>-511.1299999999992</v>
      </c>
      <c r="O62" s="31">
        <v>0</v>
      </c>
      <c r="P62" s="123">
        <v>0</v>
      </c>
      <c r="Q62" s="1"/>
      <c r="R62" s="1"/>
    </row>
    <row r="63" spans="1:18" ht="18.75" customHeight="1" thickBot="1">
      <c r="A63" s="29" t="s">
        <v>64</v>
      </c>
      <c r="B63" s="387" t="s">
        <v>65</v>
      </c>
      <c r="C63" s="388"/>
      <c r="D63" s="389"/>
      <c r="E63" s="108">
        <v>5000</v>
      </c>
      <c r="F63" s="108">
        <f>7000+E63</f>
        <v>12000</v>
      </c>
      <c r="G63" s="162">
        <v>4812.35</v>
      </c>
      <c r="H63" s="13"/>
      <c r="I63" s="13"/>
      <c r="J63" s="13"/>
      <c r="K63" s="15">
        <f>0+J63+G63</f>
        <v>4812.35</v>
      </c>
      <c r="L63" s="15">
        <f>7351.37+K63</f>
        <v>12163.720000000001</v>
      </c>
      <c r="M63" s="119">
        <f t="shared" si="8"/>
        <v>187.64999999999964</v>
      </c>
      <c r="N63" s="121">
        <f t="shared" si="8"/>
        <v>-163.72000000000116</v>
      </c>
      <c r="O63" s="31">
        <v>0</v>
      </c>
      <c r="P63" s="123">
        <v>0</v>
      </c>
      <c r="Q63" s="1"/>
      <c r="R63" s="1"/>
    </row>
    <row r="64" spans="1:18" ht="38.25" customHeight="1" thickBot="1">
      <c r="A64" s="128" t="s">
        <v>66</v>
      </c>
      <c r="B64" s="395" t="s">
        <v>206</v>
      </c>
      <c r="C64" s="396"/>
      <c r="D64" s="397"/>
      <c r="E64" s="81">
        <f>E65</f>
        <v>50000</v>
      </c>
      <c r="F64" s="114">
        <f>F65+F66</f>
        <v>277000</v>
      </c>
      <c r="G64" s="32">
        <f>G65+G66</f>
        <v>0</v>
      </c>
      <c r="H64" s="23"/>
      <c r="I64" s="23"/>
      <c r="J64" s="23">
        <f>J65+J66</f>
        <v>0</v>
      </c>
      <c r="K64" s="23">
        <f>K65+K66</f>
        <v>0</v>
      </c>
      <c r="L64" s="23">
        <f>L65</f>
        <v>17898</v>
      </c>
      <c r="M64" s="120">
        <f t="shared" si="8"/>
        <v>50000</v>
      </c>
      <c r="N64" s="125">
        <f t="shared" si="8"/>
        <v>259102</v>
      </c>
      <c r="O64" s="26">
        <v>0</v>
      </c>
      <c r="P64" s="27">
        <v>0</v>
      </c>
      <c r="Q64" s="1"/>
      <c r="R64" s="1"/>
    </row>
    <row r="65" spans="1:18" ht="15.75" thickBot="1">
      <c r="A65" s="29" t="s">
        <v>207</v>
      </c>
      <c r="B65" s="390" t="s">
        <v>152</v>
      </c>
      <c r="C65" s="391"/>
      <c r="D65" s="392"/>
      <c r="E65" s="82">
        <v>50000</v>
      </c>
      <c r="F65" s="108">
        <f>227000+E65</f>
        <v>277000</v>
      </c>
      <c r="G65" s="13">
        <v>0</v>
      </c>
      <c r="H65" s="23"/>
      <c r="I65" s="23"/>
      <c r="J65" s="15"/>
      <c r="K65" s="15">
        <f>0+G65</f>
        <v>0</v>
      </c>
      <c r="L65" s="15">
        <f>17898+K65</f>
        <v>17898</v>
      </c>
      <c r="M65" s="119">
        <f t="shared" si="8"/>
        <v>50000</v>
      </c>
      <c r="N65" s="124">
        <f t="shared" si="8"/>
        <v>259102</v>
      </c>
      <c r="O65" s="31">
        <v>0</v>
      </c>
      <c r="P65" s="123">
        <v>0</v>
      </c>
      <c r="Q65" s="1"/>
      <c r="R65" s="1"/>
    </row>
    <row r="66" spans="1:18" ht="26.25" customHeight="1" thickBot="1">
      <c r="A66" s="29" t="s">
        <v>208</v>
      </c>
      <c r="B66" s="340" t="s">
        <v>171</v>
      </c>
      <c r="C66" s="341"/>
      <c r="D66" s="342"/>
      <c r="E66" s="81"/>
      <c r="F66" s="108"/>
      <c r="G66" s="32"/>
      <c r="H66" s="23"/>
      <c r="I66" s="23"/>
      <c r="J66" s="23"/>
      <c r="K66" s="15">
        <f>0+G66</f>
        <v>0</v>
      </c>
      <c r="L66" s="15">
        <f t="shared" si="6"/>
        <v>0</v>
      </c>
      <c r="M66" s="119">
        <f t="shared" si="8"/>
        <v>0</v>
      </c>
      <c r="N66" s="124">
        <f t="shared" si="8"/>
        <v>0</v>
      </c>
      <c r="O66" s="31">
        <v>0</v>
      </c>
      <c r="P66" s="123">
        <v>0</v>
      </c>
      <c r="Q66" s="1"/>
      <c r="R66" s="1"/>
    </row>
    <row r="67" spans="1:18" ht="28.5" customHeight="1" thickBot="1">
      <c r="A67" s="128" t="s">
        <v>67</v>
      </c>
      <c r="B67" s="505" t="s">
        <v>68</v>
      </c>
      <c r="C67" s="506"/>
      <c r="D67" s="507"/>
      <c r="E67" s="81">
        <v>0</v>
      </c>
      <c r="F67" s="114">
        <f>15000+E67</f>
        <v>15000</v>
      </c>
      <c r="G67" s="32"/>
      <c r="H67" s="23"/>
      <c r="I67" s="15"/>
      <c r="J67" s="23"/>
      <c r="K67" s="23">
        <f aca="true" t="shared" si="9" ref="K67:L70">0+J67</f>
        <v>0</v>
      </c>
      <c r="L67" s="23">
        <f t="shared" si="9"/>
        <v>0</v>
      </c>
      <c r="M67" s="120">
        <f t="shared" si="8"/>
        <v>0</v>
      </c>
      <c r="N67" s="125">
        <f t="shared" si="8"/>
        <v>15000</v>
      </c>
      <c r="O67" s="26">
        <v>0</v>
      </c>
      <c r="P67" s="27">
        <v>0</v>
      </c>
      <c r="Q67" s="1"/>
      <c r="R67" s="18"/>
    </row>
    <row r="68" spans="1:18" ht="15.75" thickBot="1">
      <c r="A68" s="29" t="s">
        <v>169</v>
      </c>
      <c r="B68" s="390" t="s">
        <v>152</v>
      </c>
      <c r="C68" s="391"/>
      <c r="D68" s="392"/>
      <c r="E68" s="112"/>
      <c r="F68" s="108">
        <f>15000+E68</f>
        <v>15000</v>
      </c>
      <c r="G68" s="32"/>
      <c r="H68" s="23"/>
      <c r="I68" s="15"/>
      <c r="J68" s="23"/>
      <c r="K68" s="15">
        <f t="shared" si="9"/>
        <v>0</v>
      </c>
      <c r="L68" s="15">
        <f t="shared" si="9"/>
        <v>0</v>
      </c>
      <c r="M68" s="119">
        <f t="shared" si="8"/>
        <v>0</v>
      </c>
      <c r="N68" s="124">
        <f t="shared" si="8"/>
        <v>15000</v>
      </c>
      <c r="O68" s="31">
        <v>0</v>
      </c>
      <c r="P68" s="123">
        <v>0</v>
      </c>
      <c r="Q68" s="1"/>
      <c r="R68" s="18"/>
    </row>
    <row r="69" spans="1:18" ht="26.25" customHeight="1" thickBot="1">
      <c r="A69" s="29" t="s">
        <v>170</v>
      </c>
      <c r="B69" s="340" t="s">
        <v>171</v>
      </c>
      <c r="C69" s="341"/>
      <c r="D69" s="342"/>
      <c r="E69" s="112"/>
      <c r="F69" s="108"/>
      <c r="G69" s="32"/>
      <c r="H69" s="23"/>
      <c r="I69" s="15"/>
      <c r="J69" s="23"/>
      <c r="K69" s="15">
        <f t="shared" si="9"/>
        <v>0</v>
      </c>
      <c r="L69" s="15">
        <f t="shared" si="9"/>
        <v>0</v>
      </c>
      <c r="M69" s="119">
        <f t="shared" si="8"/>
        <v>0</v>
      </c>
      <c r="N69" s="124">
        <f t="shared" si="8"/>
        <v>0</v>
      </c>
      <c r="O69" s="31">
        <v>0</v>
      </c>
      <c r="P69" s="123">
        <v>0</v>
      </c>
      <c r="Q69" s="1"/>
      <c r="R69" s="18"/>
    </row>
    <row r="70" spans="1:18" ht="15.75" thickBot="1">
      <c r="A70" s="29" t="s">
        <v>172</v>
      </c>
      <c r="B70" s="340" t="s">
        <v>154</v>
      </c>
      <c r="C70" s="341"/>
      <c r="D70" s="342"/>
      <c r="E70" s="113"/>
      <c r="F70" s="108"/>
      <c r="G70" s="32"/>
      <c r="H70" s="23"/>
      <c r="I70" s="15"/>
      <c r="J70" s="23"/>
      <c r="K70" s="15">
        <f t="shared" si="9"/>
        <v>0</v>
      </c>
      <c r="L70" s="15">
        <f t="shared" si="9"/>
        <v>0</v>
      </c>
      <c r="M70" s="119">
        <f t="shared" si="8"/>
        <v>0</v>
      </c>
      <c r="N70" s="124">
        <f t="shared" si="8"/>
        <v>0</v>
      </c>
      <c r="O70" s="31">
        <v>0</v>
      </c>
      <c r="P70" s="123">
        <v>0</v>
      </c>
      <c r="Q70" s="1"/>
      <c r="R70" s="18"/>
    </row>
    <row r="71" spans="1:18" ht="28.5" customHeight="1" thickBot="1">
      <c r="A71" s="30" t="s">
        <v>69</v>
      </c>
      <c r="B71" s="508" t="s">
        <v>70</v>
      </c>
      <c r="C71" s="509"/>
      <c r="D71" s="510"/>
      <c r="E71" s="81">
        <v>3000</v>
      </c>
      <c r="F71" s="114">
        <f>6000+E71</f>
        <v>9000</v>
      </c>
      <c r="G71" s="32">
        <f>G72+G73</f>
        <v>1000</v>
      </c>
      <c r="H71" s="23"/>
      <c r="I71" s="23"/>
      <c r="J71" s="23"/>
      <c r="K71" s="23">
        <f>G71</f>
        <v>1000</v>
      </c>
      <c r="L71" s="23">
        <f>L72</f>
        <v>10782</v>
      </c>
      <c r="M71" s="120">
        <f t="shared" si="8"/>
        <v>2000</v>
      </c>
      <c r="N71" s="125">
        <f t="shared" si="8"/>
        <v>-1782</v>
      </c>
      <c r="O71" s="26">
        <v>0</v>
      </c>
      <c r="P71" s="27">
        <v>0</v>
      </c>
      <c r="Q71" s="1"/>
      <c r="R71" s="1"/>
    </row>
    <row r="72" spans="1:18" ht="15.75" thickBot="1">
      <c r="A72" s="29" t="s">
        <v>169</v>
      </c>
      <c r="B72" s="96" t="s">
        <v>152</v>
      </c>
      <c r="C72" s="97"/>
      <c r="D72" s="98"/>
      <c r="E72" s="112">
        <v>3000</v>
      </c>
      <c r="F72" s="108">
        <f>6000+E72</f>
        <v>9000</v>
      </c>
      <c r="G72" s="13">
        <v>1000</v>
      </c>
      <c r="H72" s="23"/>
      <c r="I72" s="23"/>
      <c r="J72" s="15"/>
      <c r="K72" s="15">
        <f>G72</f>
        <v>1000</v>
      </c>
      <c r="L72" s="15">
        <f>9782+K72</f>
        <v>10782</v>
      </c>
      <c r="M72" s="119">
        <f aca="true" t="shared" si="10" ref="M72:N82">E72-K72</f>
        <v>2000</v>
      </c>
      <c r="N72" s="124">
        <f t="shared" si="10"/>
        <v>-1782</v>
      </c>
      <c r="O72" s="31">
        <v>0</v>
      </c>
      <c r="P72" s="123">
        <v>0</v>
      </c>
      <c r="Q72" s="1"/>
      <c r="R72" s="1"/>
    </row>
    <row r="73" spans="1:18" ht="15.75" thickBot="1">
      <c r="A73" s="29" t="s">
        <v>172</v>
      </c>
      <c r="B73" s="340" t="s">
        <v>154</v>
      </c>
      <c r="C73" s="341"/>
      <c r="D73" s="342"/>
      <c r="E73" s="113"/>
      <c r="F73" s="108"/>
      <c r="G73" s="32"/>
      <c r="H73" s="23"/>
      <c r="I73" s="23"/>
      <c r="J73" s="15"/>
      <c r="K73" s="15">
        <f>0+J73</f>
        <v>0</v>
      </c>
      <c r="L73" s="15">
        <f>0+K73</f>
        <v>0</v>
      </c>
      <c r="M73" s="119">
        <f t="shared" si="10"/>
        <v>0</v>
      </c>
      <c r="N73" s="124">
        <f t="shared" si="10"/>
        <v>0</v>
      </c>
      <c r="O73" s="31">
        <v>0</v>
      </c>
      <c r="P73" s="123">
        <v>0</v>
      </c>
      <c r="Q73" s="1"/>
      <c r="R73" s="1"/>
    </row>
    <row r="74" spans="1:18" ht="33.75" customHeight="1" thickBot="1">
      <c r="A74" s="30" t="s">
        <v>71</v>
      </c>
      <c r="B74" s="508" t="s">
        <v>72</v>
      </c>
      <c r="C74" s="509"/>
      <c r="D74" s="510"/>
      <c r="E74" s="81">
        <f>E75</f>
        <v>30000</v>
      </c>
      <c r="F74" s="114">
        <f>125000+E74</f>
        <v>155000</v>
      </c>
      <c r="G74" s="32">
        <f>G75+G76+G77</f>
        <v>19860.9</v>
      </c>
      <c r="H74" s="23"/>
      <c r="I74" s="23"/>
      <c r="J74" s="23"/>
      <c r="K74" s="23">
        <f>K75+K76+K77</f>
        <v>19860.9</v>
      </c>
      <c r="L74" s="23">
        <f>L75+L76+L77</f>
        <v>34800</v>
      </c>
      <c r="M74" s="120">
        <f t="shared" si="10"/>
        <v>10139.099999999999</v>
      </c>
      <c r="N74" s="125">
        <f t="shared" si="10"/>
        <v>120200</v>
      </c>
      <c r="O74" s="26">
        <v>0</v>
      </c>
      <c r="P74" s="27">
        <v>0</v>
      </c>
      <c r="Q74" s="1"/>
      <c r="R74" s="1"/>
    </row>
    <row r="75" spans="1:18" ht="15.75" thickBot="1">
      <c r="A75" s="29" t="s">
        <v>173</v>
      </c>
      <c r="B75" s="340" t="s">
        <v>152</v>
      </c>
      <c r="C75" s="341"/>
      <c r="D75" s="342"/>
      <c r="E75" s="112">
        <v>30000</v>
      </c>
      <c r="F75" s="108">
        <f>125000+E75</f>
        <v>155000</v>
      </c>
      <c r="G75" s="13">
        <v>19860.9</v>
      </c>
      <c r="H75" s="23"/>
      <c r="I75" s="23"/>
      <c r="J75" s="15"/>
      <c r="K75" s="15">
        <f>G75</f>
        <v>19860.9</v>
      </c>
      <c r="L75" s="15">
        <f>14939.1+K75</f>
        <v>34800</v>
      </c>
      <c r="M75" s="119">
        <f t="shared" si="10"/>
        <v>10139.099999999999</v>
      </c>
      <c r="N75" s="124">
        <f t="shared" si="10"/>
        <v>120200</v>
      </c>
      <c r="O75" s="31">
        <v>0</v>
      </c>
      <c r="P75" s="123">
        <v>0</v>
      </c>
      <c r="Q75" s="1"/>
      <c r="R75" s="1"/>
    </row>
    <row r="76" spans="1:18" ht="25.5" customHeight="1" thickBot="1">
      <c r="A76" s="29" t="s">
        <v>174</v>
      </c>
      <c r="B76" s="340" t="s">
        <v>171</v>
      </c>
      <c r="C76" s="341"/>
      <c r="D76" s="342"/>
      <c r="E76" s="113"/>
      <c r="F76" s="108"/>
      <c r="G76" s="32"/>
      <c r="H76" s="23"/>
      <c r="I76" s="23"/>
      <c r="J76" s="15"/>
      <c r="K76" s="15">
        <f aca="true" t="shared" si="11" ref="K76:L82">0+J76</f>
        <v>0</v>
      </c>
      <c r="L76" s="15">
        <f t="shared" si="11"/>
        <v>0</v>
      </c>
      <c r="M76" s="119">
        <f t="shared" si="10"/>
        <v>0</v>
      </c>
      <c r="N76" s="124">
        <f t="shared" si="10"/>
        <v>0</v>
      </c>
      <c r="O76" s="31">
        <v>0</v>
      </c>
      <c r="P76" s="123">
        <v>0</v>
      </c>
      <c r="Q76" s="1"/>
      <c r="R76" s="1"/>
    </row>
    <row r="77" spans="1:18" ht="15.75" thickBot="1">
      <c r="A77" s="29" t="s">
        <v>175</v>
      </c>
      <c r="B77" s="96" t="s">
        <v>154</v>
      </c>
      <c r="C77" s="97"/>
      <c r="D77" s="98"/>
      <c r="E77" s="112"/>
      <c r="F77" s="108"/>
      <c r="G77" s="32"/>
      <c r="H77" s="23"/>
      <c r="I77" s="23"/>
      <c r="J77" s="15"/>
      <c r="K77" s="15">
        <f t="shared" si="11"/>
        <v>0</v>
      </c>
      <c r="L77" s="15">
        <f t="shared" si="11"/>
        <v>0</v>
      </c>
      <c r="M77" s="119">
        <f t="shared" si="10"/>
        <v>0</v>
      </c>
      <c r="N77" s="124">
        <f t="shared" si="10"/>
        <v>0</v>
      </c>
      <c r="O77" s="31">
        <v>0</v>
      </c>
      <c r="P77" s="123">
        <v>0</v>
      </c>
      <c r="Q77" s="1"/>
      <c r="R77" s="1"/>
    </row>
    <row r="78" spans="1:18" ht="33.75" customHeight="1" thickBot="1">
      <c r="A78" s="128" t="s">
        <v>73</v>
      </c>
      <c r="B78" s="395" t="s">
        <v>74</v>
      </c>
      <c r="C78" s="396"/>
      <c r="D78" s="397"/>
      <c r="E78" s="81">
        <f>E79</f>
        <v>1000</v>
      </c>
      <c r="F78" s="114">
        <f>500+E78</f>
        <v>1500</v>
      </c>
      <c r="G78" s="32"/>
      <c r="H78" s="23"/>
      <c r="I78" s="23"/>
      <c r="J78" s="23"/>
      <c r="K78" s="23">
        <f t="shared" si="11"/>
        <v>0</v>
      </c>
      <c r="L78" s="23">
        <f t="shared" si="11"/>
        <v>0</v>
      </c>
      <c r="M78" s="120">
        <f t="shared" si="10"/>
        <v>1000</v>
      </c>
      <c r="N78" s="125">
        <f t="shared" si="10"/>
        <v>1500</v>
      </c>
      <c r="O78" s="26">
        <v>0</v>
      </c>
      <c r="P78" s="27">
        <v>0</v>
      </c>
      <c r="Q78" s="1"/>
      <c r="R78" s="1"/>
    </row>
    <row r="79" spans="1:18" ht="15.75" thickBot="1">
      <c r="A79" s="22" t="s">
        <v>176</v>
      </c>
      <c r="B79" s="96" t="s">
        <v>152</v>
      </c>
      <c r="C79" s="97"/>
      <c r="D79" s="98"/>
      <c r="E79" s="113">
        <v>1000</v>
      </c>
      <c r="F79" s="108">
        <f>500+E79</f>
        <v>1500</v>
      </c>
      <c r="G79" s="32"/>
      <c r="H79" s="23"/>
      <c r="I79" s="23"/>
      <c r="J79" s="23"/>
      <c r="K79" s="15">
        <f t="shared" si="11"/>
        <v>0</v>
      </c>
      <c r="L79" s="15">
        <f t="shared" si="11"/>
        <v>0</v>
      </c>
      <c r="M79" s="119">
        <f t="shared" si="10"/>
        <v>1000</v>
      </c>
      <c r="N79" s="124">
        <f t="shared" si="10"/>
        <v>1500</v>
      </c>
      <c r="O79" s="31">
        <v>0</v>
      </c>
      <c r="P79" s="123">
        <v>0</v>
      </c>
      <c r="Q79" s="1"/>
      <c r="R79" s="1"/>
    </row>
    <row r="80" spans="1:18" ht="30" customHeight="1" thickBot="1">
      <c r="A80" s="128" t="s">
        <v>75</v>
      </c>
      <c r="B80" s="395" t="s">
        <v>76</v>
      </c>
      <c r="C80" s="396"/>
      <c r="D80" s="397"/>
      <c r="E80" s="81">
        <f>E81</f>
        <v>18500</v>
      </c>
      <c r="F80" s="114">
        <f>F81</f>
        <v>18500</v>
      </c>
      <c r="G80" s="32"/>
      <c r="H80" s="23"/>
      <c r="I80" s="23"/>
      <c r="J80" s="23"/>
      <c r="K80" s="23">
        <f t="shared" si="11"/>
        <v>0</v>
      </c>
      <c r="L80" s="23">
        <f t="shared" si="11"/>
        <v>0</v>
      </c>
      <c r="M80" s="120">
        <f t="shared" si="10"/>
        <v>18500</v>
      </c>
      <c r="N80" s="125">
        <f t="shared" si="10"/>
        <v>18500</v>
      </c>
      <c r="O80" s="26">
        <v>0</v>
      </c>
      <c r="P80" s="27">
        <v>0</v>
      </c>
      <c r="Q80" s="1"/>
      <c r="R80" s="1"/>
    </row>
    <row r="81" spans="1:18" ht="15.75" thickBot="1">
      <c r="A81" s="29" t="s">
        <v>177</v>
      </c>
      <c r="B81" s="390" t="s">
        <v>152</v>
      </c>
      <c r="C81" s="391"/>
      <c r="D81" s="392"/>
      <c r="E81" s="113">
        <v>18500</v>
      </c>
      <c r="F81" s="108">
        <f>0+E81</f>
        <v>18500</v>
      </c>
      <c r="G81" s="118"/>
      <c r="H81" s="99"/>
      <c r="I81" s="93"/>
      <c r="J81" s="99"/>
      <c r="K81" s="15">
        <f t="shared" si="11"/>
        <v>0</v>
      </c>
      <c r="L81" s="15">
        <f t="shared" si="11"/>
        <v>0</v>
      </c>
      <c r="M81" s="119">
        <f t="shared" si="10"/>
        <v>18500</v>
      </c>
      <c r="N81" s="124">
        <f t="shared" si="10"/>
        <v>18500</v>
      </c>
      <c r="O81" s="31">
        <v>0</v>
      </c>
      <c r="P81" s="123">
        <v>0</v>
      </c>
      <c r="Q81" s="1"/>
      <c r="R81" s="1"/>
    </row>
    <row r="82" spans="1:18" ht="15.75" thickBot="1">
      <c r="A82" s="29" t="s">
        <v>178</v>
      </c>
      <c r="B82" s="96" t="s">
        <v>154</v>
      </c>
      <c r="C82" s="97"/>
      <c r="D82" s="98"/>
      <c r="E82" s="113"/>
      <c r="F82" s="23"/>
      <c r="G82" s="32"/>
      <c r="H82" s="146"/>
      <c r="I82" s="15"/>
      <c r="J82" s="146"/>
      <c r="K82" s="15">
        <f t="shared" si="11"/>
        <v>0</v>
      </c>
      <c r="L82" s="15">
        <f t="shared" si="11"/>
        <v>0</v>
      </c>
      <c r="M82" s="119">
        <f t="shared" si="10"/>
        <v>0</v>
      </c>
      <c r="N82" s="124">
        <f t="shared" si="10"/>
        <v>0</v>
      </c>
      <c r="O82" s="31">
        <v>0</v>
      </c>
      <c r="P82" s="123">
        <v>0</v>
      </c>
      <c r="Q82" s="1"/>
      <c r="R82" s="1"/>
    </row>
    <row r="83" spans="1:18" ht="15">
      <c r="A83" s="411"/>
      <c r="B83" s="413" t="s">
        <v>30</v>
      </c>
      <c r="C83" s="414"/>
      <c r="D83" s="414"/>
      <c r="E83" s="414"/>
      <c r="F83" s="414"/>
      <c r="G83" s="414"/>
      <c r="H83" s="414"/>
      <c r="I83" s="414"/>
      <c r="J83" s="414"/>
      <c r="K83" s="414"/>
      <c r="L83" s="414"/>
      <c r="M83" s="414"/>
      <c r="N83" s="414"/>
      <c r="O83" s="414"/>
      <c r="P83" s="415"/>
      <c r="Q83" s="1"/>
      <c r="R83" s="1"/>
    </row>
    <row r="84" spans="1:18" ht="9" customHeight="1" thickBot="1">
      <c r="A84" s="412"/>
      <c r="B84" s="416"/>
      <c r="C84" s="417"/>
      <c r="D84" s="417"/>
      <c r="E84" s="417"/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8"/>
      <c r="Q84" s="1"/>
      <c r="R84" s="1"/>
    </row>
    <row r="85" spans="1:18" ht="15.75" thickBot="1">
      <c r="A85" s="398"/>
      <c r="B85" s="400" t="s">
        <v>14</v>
      </c>
      <c r="C85" s="401"/>
      <c r="D85" s="402"/>
      <c r="E85" s="406" t="s">
        <v>24</v>
      </c>
      <c r="F85" s="408" t="s">
        <v>25</v>
      </c>
      <c r="G85" s="326" t="s">
        <v>31</v>
      </c>
      <c r="H85" s="410"/>
      <c r="I85" s="410"/>
      <c r="J85" s="410"/>
      <c r="K85" s="327"/>
      <c r="L85" s="393" t="s">
        <v>16</v>
      </c>
      <c r="M85" s="393" t="s">
        <v>17</v>
      </c>
      <c r="N85" s="393" t="s">
        <v>18</v>
      </c>
      <c r="O85" s="393" t="s">
        <v>19</v>
      </c>
      <c r="P85" s="393" t="s">
        <v>20</v>
      </c>
      <c r="Q85" s="1"/>
      <c r="R85" s="1"/>
    </row>
    <row r="86" spans="1:18" ht="96" customHeight="1" thickBot="1">
      <c r="A86" s="399"/>
      <c r="B86" s="403"/>
      <c r="C86" s="404"/>
      <c r="D86" s="405"/>
      <c r="E86" s="407"/>
      <c r="F86" s="409"/>
      <c r="G86" s="149" t="s">
        <v>32</v>
      </c>
      <c r="H86" s="149" t="s">
        <v>33</v>
      </c>
      <c r="I86" s="149" t="s">
        <v>34</v>
      </c>
      <c r="J86" s="5" t="s">
        <v>77</v>
      </c>
      <c r="K86" s="77" t="s">
        <v>27</v>
      </c>
      <c r="L86" s="394"/>
      <c r="M86" s="394"/>
      <c r="N86" s="394"/>
      <c r="O86" s="394"/>
      <c r="P86" s="394"/>
      <c r="Q86" s="1"/>
      <c r="R86" s="1"/>
    </row>
    <row r="87" spans="1:18" ht="15.75" thickBot="1">
      <c r="A87" s="29"/>
      <c r="B87" s="350">
        <v>1</v>
      </c>
      <c r="C87" s="351"/>
      <c r="D87" s="352"/>
      <c r="E87" s="7" t="s">
        <v>22</v>
      </c>
      <c r="F87" s="149">
        <v>3</v>
      </c>
      <c r="G87" s="149">
        <v>4</v>
      </c>
      <c r="H87" s="149">
        <v>5</v>
      </c>
      <c r="I87" s="5">
        <v>6</v>
      </c>
      <c r="J87" s="5">
        <v>7</v>
      </c>
      <c r="K87" s="89">
        <v>8</v>
      </c>
      <c r="L87" s="153">
        <v>9</v>
      </c>
      <c r="M87" s="5">
        <v>10</v>
      </c>
      <c r="N87" s="153">
        <v>11</v>
      </c>
      <c r="O87" s="5">
        <v>12</v>
      </c>
      <c r="P87" s="153">
        <v>13</v>
      </c>
      <c r="Q87" s="1"/>
      <c r="R87" s="1"/>
    </row>
    <row r="88" spans="1:18" ht="27.75" customHeight="1" thickBot="1">
      <c r="A88" s="22" t="s">
        <v>78</v>
      </c>
      <c r="B88" s="395" t="s">
        <v>79</v>
      </c>
      <c r="C88" s="396"/>
      <c r="D88" s="397"/>
      <c r="E88" s="81">
        <f>E89</f>
        <v>27555</v>
      </c>
      <c r="F88" s="114">
        <f>55110+E88</f>
        <v>82665</v>
      </c>
      <c r="G88" s="81">
        <f>G89+G90+G91+G92</f>
        <v>32777.68</v>
      </c>
      <c r="H88" s="23"/>
      <c r="I88" s="23"/>
      <c r="J88" s="23"/>
      <c r="K88" s="83">
        <f>K89+K90+K91+K92</f>
        <v>32777.68</v>
      </c>
      <c r="L88" s="23">
        <f>38391.69+K88</f>
        <v>71169.37</v>
      </c>
      <c r="M88" s="120">
        <f aca="true" t="shared" si="12" ref="M88:N103">E88-K88</f>
        <v>-5222.68</v>
      </c>
      <c r="N88" s="125">
        <f t="shared" si="12"/>
        <v>11495.630000000005</v>
      </c>
      <c r="O88" s="26">
        <v>0</v>
      </c>
      <c r="P88" s="27">
        <v>0</v>
      </c>
      <c r="Q88" s="18"/>
      <c r="R88" s="1"/>
    </row>
    <row r="89" spans="1:18" ht="15.75" thickBot="1">
      <c r="A89" s="29" t="s">
        <v>179</v>
      </c>
      <c r="B89" s="390" t="s">
        <v>152</v>
      </c>
      <c r="C89" s="391"/>
      <c r="D89" s="392"/>
      <c r="E89" s="112">
        <f>E93+E94+E96+E97+E98+E100+E99+E95</f>
        <v>27555</v>
      </c>
      <c r="F89" s="108">
        <f>55110+E89</f>
        <v>82665</v>
      </c>
      <c r="G89" s="82">
        <f>G96+G97+G98+G100+G93+G94</f>
        <v>32777.68</v>
      </c>
      <c r="H89" s="23"/>
      <c r="I89" s="23"/>
      <c r="J89" s="23"/>
      <c r="K89" s="84">
        <f>G89</f>
        <v>32777.68</v>
      </c>
      <c r="L89" s="15">
        <f>L93+L94+L96+L97+L98+L99+L100</f>
        <v>71169.37</v>
      </c>
      <c r="M89" s="119">
        <f t="shared" si="12"/>
        <v>-5222.68</v>
      </c>
      <c r="N89" s="124">
        <f t="shared" si="12"/>
        <v>11495.630000000005</v>
      </c>
      <c r="O89" s="31">
        <v>0</v>
      </c>
      <c r="P89" s="123">
        <v>0</v>
      </c>
      <c r="Q89" s="18"/>
      <c r="R89" s="1"/>
    </row>
    <row r="90" spans="1:18" ht="15.75" thickBot="1">
      <c r="A90" s="29" t="s">
        <v>180</v>
      </c>
      <c r="B90" s="390" t="s">
        <v>151</v>
      </c>
      <c r="C90" s="391"/>
      <c r="D90" s="392"/>
      <c r="E90" s="112"/>
      <c r="F90" s="108"/>
      <c r="G90" s="81"/>
      <c r="H90" s="23"/>
      <c r="I90" s="23"/>
      <c r="J90" s="23"/>
      <c r="K90" s="84">
        <f aca="true" t="shared" si="13" ref="K90:K99">G90</f>
        <v>0</v>
      </c>
      <c r="L90" s="15">
        <f aca="true" t="shared" si="14" ref="L90:L120">0+K90</f>
        <v>0</v>
      </c>
      <c r="M90" s="119">
        <f t="shared" si="12"/>
        <v>0</v>
      </c>
      <c r="N90" s="124">
        <f t="shared" si="12"/>
        <v>0</v>
      </c>
      <c r="O90" s="31">
        <v>0</v>
      </c>
      <c r="P90" s="123">
        <v>0</v>
      </c>
      <c r="Q90" s="18"/>
      <c r="R90" s="1"/>
    </row>
    <row r="91" spans="1:18" ht="15.75" thickBot="1">
      <c r="A91" s="29" t="s">
        <v>181</v>
      </c>
      <c r="B91" s="340" t="s">
        <v>171</v>
      </c>
      <c r="C91" s="341"/>
      <c r="D91" s="342"/>
      <c r="E91" s="112"/>
      <c r="F91" s="108"/>
      <c r="G91" s="81"/>
      <c r="H91" s="23"/>
      <c r="I91" s="23"/>
      <c r="J91" s="23"/>
      <c r="K91" s="84">
        <f t="shared" si="13"/>
        <v>0</v>
      </c>
      <c r="L91" s="15">
        <f t="shared" si="14"/>
        <v>0</v>
      </c>
      <c r="M91" s="119">
        <f t="shared" si="12"/>
        <v>0</v>
      </c>
      <c r="N91" s="124">
        <f t="shared" si="12"/>
        <v>0</v>
      </c>
      <c r="O91" s="31">
        <v>0</v>
      </c>
      <c r="P91" s="123">
        <v>0</v>
      </c>
      <c r="Q91" s="18"/>
      <c r="R91" s="1"/>
    </row>
    <row r="92" spans="1:18" ht="15.75" thickBot="1">
      <c r="A92" s="29" t="s">
        <v>182</v>
      </c>
      <c r="B92" s="340" t="s">
        <v>154</v>
      </c>
      <c r="C92" s="341"/>
      <c r="D92" s="342"/>
      <c r="E92" s="112"/>
      <c r="F92" s="108"/>
      <c r="G92" s="81"/>
      <c r="H92" s="23"/>
      <c r="I92" s="23"/>
      <c r="J92" s="23"/>
      <c r="K92" s="84">
        <f t="shared" si="13"/>
        <v>0</v>
      </c>
      <c r="L92" s="15">
        <f t="shared" si="14"/>
        <v>0</v>
      </c>
      <c r="M92" s="119">
        <f t="shared" si="12"/>
        <v>0</v>
      </c>
      <c r="N92" s="124">
        <f t="shared" si="12"/>
        <v>0</v>
      </c>
      <c r="O92" s="31">
        <v>0</v>
      </c>
      <c r="P92" s="123">
        <v>0</v>
      </c>
      <c r="Q92" s="18"/>
      <c r="R92" s="161">
        <f>L93+L94+L95+L96+L97+L98+L99+L100</f>
        <v>71169.37</v>
      </c>
    </row>
    <row r="93" spans="1:18" ht="15.75" thickBot="1">
      <c r="A93" s="29" t="s">
        <v>80</v>
      </c>
      <c r="B93" s="359" t="s">
        <v>81</v>
      </c>
      <c r="C93" s="360"/>
      <c r="D93" s="361"/>
      <c r="E93" s="108">
        <v>3000</v>
      </c>
      <c r="F93" s="108">
        <f>6000+E93</f>
        <v>9000</v>
      </c>
      <c r="G93" s="82">
        <v>3000</v>
      </c>
      <c r="H93" s="13"/>
      <c r="I93" s="13"/>
      <c r="J93" s="13"/>
      <c r="K93" s="84">
        <f t="shared" si="13"/>
        <v>3000</v>
      </c>
      <c r="L93" s="15">
        <f>6000+K93</f>
        <v>9000</v>
      </c>
      <c r="M93" s="119">
        <f t="shared" si="12"/>
        <v>0</v>
      </c>
      <c r="N93" s="124">
        <f t="shared" si="12"/>
        <v>0</v>
      </c>
      <c r="O93" s="31">
        <v>0</v>
      </c>
      <c r="P93" s="123">
        <v>0</v>
      </c>
      <c r="Q93" s="1"/>
      <c r="R93" s="18">
        <f>L89+L90+L91+L92</f>
        <v>71169.37</v>
      </c>
    </row>
    <row r="94" spans="1:18" ht="15.75" thickBot="1">
      <c r="A94" s="29" t="s">
        <v>82</v>
      </c>
      <c r="B94" s="387" t="s">
        <v>209</v>
      </c>
      <c r="C94" s="388"/>
      <c r="D94" s="389"/>
      <c r="E94" s="108">
        <v>4400</v>
      </c>
      <c r="F94" s="108">
        <f>8800+E94</f>
        <v>13200</v>
      </c>
      <c r="G94" s="82">
        <v>4400</v>
      </c>
      <c r="H94" s="13"/>
      <c r="I94" s="13"/>
      <c r="J94" s="13"/>
      <c r="K94" s="84">
        <f>G94</f>
        <v>4400</v>
      </c>
      <c r="L94" s="15">
        <f>8800+K94</f>
        <v>13200</v>
      </c>
      <c r="M94" s="119">
        <f t="shared" si="12"/>
        <v>0</v>
      </c>
      <c r="N94" s="124">
        <f t="shared" si="12"/>
        <v>0</v>
      </c>
      <c r="O94" s="31">
        <v>0</v>
      </c>
      <c r="P94" s="123">
        <v>0</v>
      </c>
      <c r="Q94" s="1"/>
      <c r="R94" s="1"/>
    </row>
    <row r="95" spans="1:18" ht="15.75" thickBot="1">
      <c r="A95" s="29" t="s">
        <v>83</v>
      </c>
      <c r="B95" s="359" t="s">
        <v>84</v>
      </c>
      <c r="C95" s="360"/>
      <c r="D95" s="361"/>
      <c r="E95" s="108"/>
      <c r="F95" s="108">
        <f>0+E95</f>
        <v>0</v>
      </c>
      <c r="G95" s="81"/>
      <c r="H95" s="13"/>
      <c r="I95" s="13"/>
      <c r="J95" s="13"/>
      <c r="K95" s="84">
        <f t="shared" si="13"/>
        <v>0</v>
      </c>
      <c r="L95" s="15">
        <f t="shared" si="14"/>
        <v>0</v>
      </c>
      <c r="M95" s="119">
        <f t="shared" si="12"/>
        <v>0</v>
      </c>
      <c r="N95" s="124">
        <f t="shared" si="12"/>
        <v>0</v>
      </c>
      <c r="O95" s="31">
        <v>0</v>
      </c>
      <c r="P95" s="123">
        <v>0</v>
      </c>
      <c r="Q95" s="1"/>
      <c r="R95" s="1"/>
    </row>
    <row r="96" spans="1:18" ht="15.75" thickBot="1">
      <c r="A96" s="29" t="s">
        <v>85</v>
      </c>
      <c r="B96" s="359" t="s">
        <v>86</v>
      </c>
      <c r="C96" s="360"/>
      <c r="D96" s="361"/>
      <c r="E96" s="108">
        <v>1355</v>
      </c>
      <c r="F96" s="108">
        <f>2710+E96</f>
        <v>4065</v>
      </c>
      <c r="G96" s="82">
        <v>1355</v>
      </c>
      <c r="H96" s="13"/>
      <c r="I96" s="13"/>
      <c r="J96" s="13"/>
      <c r="K96" s="84">
        <f t="shared" si="13"/>
        <v>1355</v>
      </c>
      <c r="L96" s="15">
        <f>2200+K96</f>
        <v>3555</v>
      </c>
      <c r="M96" s="119">
        <f t="shared" si="12"/>
        <v>0</v>
      </c>
      <c r="N96" s="124">
        <f t="shared" si="12"/>
        <v>510</v>
      </c>
      <c r="O96" s="31">
        <v>0</v>
      </c>
      <c r="P96" s="123">
        <v>0</v>
      </c>
      <c r="Q96" s="1"/>
      <c r="R96" s="1"/>
    </row>
    <row r="97" spans="1:18" ht="15.75" thickBot="1">
      <c r="A97" s="29" t="s">
        <v>87</v>
      </c>
      <c r="B97" s="359" t="s">
        <v>88</v>
      </c>
      <c r="C97" s="360"/>
      <c r="D97" s="361"/>
      <c r="E97" s="108">
        <v>7500</v>
      </c>
      <c r="F97" s="108">
        <f>15000+E97</f>
        <v>22500</v>
      </c>
      <c r="G97" s="82">
        <v>5855.79</v>
      </c>
      <c r="H97" s="13"/>
      <c r="I97" s="13"/>
      <c r="J97" s="13"/>
      <c r="K97" s="84">
        <f>G97</f>
        <v>5855.79</v>
      </c>
      <c r="L97" s="15">
        <f>9248.89+K97</f>
        <v>15104.68</v>
      </c>
      <c r="M97" s="119">
        <f t="shared" si="12"/>
        <v>1644.21</v>
      </c>
      <c r="N97" s="124">
        <f t="shared" si="12"/>
        <v>7395.32</v>
      </c>
      <c r="O97" s="31">
        <v>0</v>
      </c>
      <c r="P97" s="123">
        <v>0</v>
      </c>
      <c r="Q97" s="1"/>
      <c r="R97" s="1"/>
    </row>
    <row r="98" spans="1:16" ht="15.75" thickBot="1">
      <c r="A98" s="29" t="s">
        <v>89</v>
      </c>
      <c r="B98" s="359" t="s">
        <v>90</v>
      </c>
      <c r="C98" s="360"/>
      <c r="D98" s="361"/>
      <c r="E98" s="108">
        <v>1500</v>
      </c>
      <c r="F98" s="108">
        <f>3000+E98</f>
        <v>4500</v>
      </c>
      <c r="G98" s="82">
        <v>2772</v>
      </c>
      <c r="H98" s="13"/>
      <c r="I98" s="13"/>
      <c r="J98" s="13"/>
      <c r="K98" s="84">
        <f t="shared" si="13"/>
        <v>2772</v>
      </c>
      <c r="L98" s="15">
        <f>2772+K98</f>
        <v>5544</v>
      </c>
      <c r="M98" s="119">
        <f t="shared" si="12"/>
        <v>-1272</v>
      </c>
      <c r="N98" s="124">
        <f t="shared" si="12"/>
        <v>-1044</v>
      </c>
      <c r="O98" s="31">
        <v>0</v>
      </c>
      <c r="P98" s="123">
        <v>0</v>
      </c>
    </row>
    <row r="99" spans="1:16" ht="15.75" thickBot="1">
      <c r="A99" s="29" t="s">
        <v>91</v>
      </c>
      <c r="B99" s="359" t="s">
        <v>92</v>
      </c>
      <c r="C99" s="360"/>
      <c r="D99" s="361"/>
      <c r="E99" s="108">
        <v>0</v>
      </c>
      <c r="F99" s="108">
        <f>0+E99</f>
        <v>0</v>
      </c>
      <c r="G99" s="81"/>
      <c r="H99" s="13"/>
      <c r="I99" s="13"/>
      <c r="J99" s="13"/>
      <c r="K99" s="84">
        <f t="shared" si="13"/>
        <v>0</v>
      </c>
      <c r="L99" s="15">
        <f t="shared" si="14"/>
        <v>0</v>
      </c>
      <c r="M99" s="119">
        <f t="shared" si="12"/>
        <v>0</v>
      </c>
      <c r="N99" s="124">
        <f t="shared" si="12"/>
        <v>0</v>
      </c>
      <c r="O99" s="31">
        <v>0</v>
      </c>
      <c r="P99" s="123">
        <v>0</v>
      </c>
    </row>
    <row r="100" spans="1:16" ht="15.75" thickBot="1">
      <c r="A100" s="29" t="s">
        <v>93</v>
      </c>
      <c r="B100" s="359" t="s">
        <v>94</v>
      </c>
      <c r="C100" s="360"/>
      <c r="D100" s="361"/>
      <c r="E100" s="108">
        <v>9800</v>
      </c>
      <c r="F100" s="108">
        <f>19600+E100</f>
        <v>29400</v>
      </c>
      <c r="G100" s="82">
        <v>15394.89</v>
      </c>
      <c r="H100" s="13"/>
      <c r="I100" s="13"/>
      <c r="J100" s="13"/>
      <c r="K100" s="84">
        <f>G100</f>
        <v>15394.89</v>
      </c>
      <c r="L100" s="15">
        <f>9370.8+K100</f>
        <v>24765.69</v>
      </c>
      <c r="M100" s="119">
        <f t="shared" si="12"/>
        <v>-5594.889999999999</v>
      </c>
      <c r="N100" s="124">
        <f t="shared" si="12"/>
        <v>4634.310000000001</v>
      </c>
      <c r="O100" s="31">
        <v>0</v>
      </c>
      <c r="P100" s="123">
        <v>0</v>
      </c>
    </row>
    <row r="101" spans="1:18" ht="30" customHeight="1" thickBot="1">
      <c r="A101" s="56" t="s">
        <v>95</v>
      </c>
      <c r="B101" s="425" t="s">
        <v>96</v>
      </c>
      <c r="C101" s="323"/>
      <c r="D101" s="324"/>
      <c r="E101" s="114">
        <f>E102+E103</f>
        <v>30551</v>
      </c>
      <c r="F101" s="114">
        <f>142400+E101</f>
        <v>172951</v>
      </c>
      <c r="G101" s="114">
        <f>G102+G104+G105</f>
        <v>33523.23</v>
      </c>
      <c r="H101" s="32"/>
      <c r="I101" s="23">
        <v>0</v>
      </c>
      <c r="J101" s="23"/>
      <c r="K101" s="114">
        <f>G101+H101+I101+J101</f>
        <v>33523.23</v>
      </c>
      <c r="L101" s="23">
        <f>161392.02+K101</f>
        <v>194915.25</v>
      </c>
      <c r="M101" s="120">
        <f t="shared" si="12"/>
        <v>-2972.230000000003</v>
      </c>
      <c r="N101" s="125">
        <f t="shared" si="12"/>
        <v>-21964.25</v>
      </c>
      <c r="O101" s="26">
        <v>0</v>
      </c>
      <c r="P101" s="27">
        <v>0</v>
      </c>
      <c r="R101" s="162">
        <f>L102+L104-L101</f>
        <v>0</v>
      </c>
    </row>
    <row r="102" spans="1:18" ht="15.75" thickBot="1">
      <c r="A102" s="29" t="s">
        <v>183</v>
      </c>
      <c r="B102" s="390" t="s">
        <v>152</v>
      </c>
      <c r="C102" s="391"/>
      <c r="D102" s="392"/>
      <c r="E102" s="112">
        <f>E106+E107+E114+E119+E131+E113</f>
        <v>17800</v>
      </c>
      <c r="F102" s="108">
        <f>116900+E102</f>
        <v>134700</v>
      </c>
      <c r="G102" s="13">
        <f>G106+G107+G108+G109+G110+G111+G112+G113+G114+G115+G116+G117+G118+G119+G126+G127+G128+G129+G130+G131</f>
        <v>33523.23</v>
      </c>
      <c r="H102" s="32"/>
      <c r="I102" s="23"/>
      <c r="J102" s="23"/>
      <c r="K102" s="84">
        <f>G102</f>
        <v>33523.23</v>
      </c>
      <c r="L102" s="15">
        <f>69219.02+K102</f>
        <v>102742.25</v>
      </c>
      <c r="M102" s="119">
        <f t="shared" si="12"/>
        <v>-15723.230000000003</v>
      </c>
      <c r="N102" s="124">
        <f t="shared" si="12"/>
        <v>31957.75</v>
      </c>
      <c r="O102" s="31">
        <v>0</v>
      </c>
      <c r="P102" s="123">
        <v>0</v>
      </c>
      <c r="R102" s="162"/>
    </row>
    <row r="103" spans="1:18" ht="15.75" thickBot="1">
      <c r="A103" s="29" t="s">
        <v>184</v>
      </c>
      <c r="B103" s="390" t="s">
        <v>151</v>
      </c>
      <c r="C103" s="391"/>
      <c r="D103" s="392"/>
      <c r="E103" s="112">
        <f>E129</f>
        <v>12751</v>
      </c>
      <c r="F103" s="108">
        <f>25500+E103</f>
        <v>38251</v>
      </c>
      <c r="G103" s="32"/>
      <c r="H103" s="32"/>
      <c r="I103" s="23"/>
      <c r="J103" s="23"/>
      <c r="K103" s="84">
        <f aca="true" t="shared" si="15" ref="K103:K120">G103</f>
        <v>0</v>
      </c>
      <c r="L103" s="15">
        <f t="shared" si="14"/>
        <v>0</v>
      </c>
      <c r="M103" s="119">
        <f t="shared" si="12"/>
        <v>12751</v>
      </c>
      <c r="N103" s="124">
        <f t="shared" si="12"/>
        <v>38251</v>
      </c>
      <c r="O103" s="31">
        <v>0</v>
      </c>
      <c r="P103" s="123">
        <v>0</v>
      </c>
      <c r="R103" s="163"/>
    </row>
    <row r="104" spans="1:18" ht="15.75" thickBot="1">
      <c r="A104" s="29" t="s">
        <v>185</v>
      </c>
      <c r="B104" s="340" t="s">
        <v>171</v>
      </c>
      <c r="C104" s="341"/>
      <c r="D104" s="342"/>
      <c r="E104" s="112"/>
      <c r="F104" s="108"/>
      <c r="G104" s="108"/>
      <c r="H104" s="32"/>
      <c r="I104" s="15">
        <v>0</v>
      </c>
      <c r="J104" s="23"/>
      <c r="K104" s="84">
        <f>I104</f>
        <v>0</v>
      </c>
      <c r="L104" s="15">
        <f>92173+K104</f>
        <v>92173</v>
      </c>
      <c r="M104" s="119">
        <f aca="true" t="shared" si="16" ref="M104:N120">E104-K104</f>
        <v>0</v>
      </c>
      <c r="N104" s="124">
        <f t="shared" si="16"/>
        <v>-92173</v>
      </c>
      <c r="O104" s="31">
        <v>0</v>
      </c>
      <c r="P104" s="123">
        <v>0</v>
      </c>
      <c r="R104" s="162">
        <f>L106+L113+L114+L118+L119+L131</f>
        <v>102742.24999999999</v>
      </c>
    </row>
    <row r="105" spans="1:16" ht="15.75" thickBot="1">
      <c r="A105" s="29" t="s">
        <v>186</v>
      </c>
      <c r="B105" s="390" t="s">
        <v>154</v>
      </c>
      <c r="C105" s="391"/>
      <c r="D105" s="392"/>
      <c r="E105" s="112"/>
      <c r="F105" s="108"/>
      <c r="G105" s="32"/>
      <c r="H105" s="32"/>
      <c r="I105" s="23"/>
      <c r="J105" s="23"/>
      <c r="K105" s="84">
        <f>G105</f>
        <v>0</v>
      </c>
      <c r="L105" s="15">
        <f t="shared" si="14"/>
        <v>0</v>
      </c>
      <c r="M105" s="119">
        <f t="shared" si="16"/>
        <v>0</v>
      </c>
      <c r="N105" s="124">
        <f t="shared" si="16"/>
        <v>0</v>
      </c>
      <c r="O105" s="31">
        <v>0</v>
      </c>
      <c r="P105" s="123">
        <v>0</v>
      </c>
    </row>
    <row r="106" spans="1:16" ht="15.75" thickBot="1">
      <c r="A106" s="29" t="s">
        <v>97</v>
      </c>
      <c r="B106" s="511" t="s">
        <v>98</v>
      </c>
      <c r="C106" s="512"/>
      <c r="D106" s="513"/>
      <c r="E106" s="108">
        <v>16300</v>
      </c>
      <c r="F106" s="108">
        <f>16300+E106</f>
        <v>32600</v>
      </c>
      <c r="G106" s="13">
        <v>0</v>
      </c>
      <c r="H106" s="13"/>
      <c r="I106" s="13"/>
      <c r="J106" s="13"/>
      <c r="K106" s="84">
        <f t="shared" si="15"/>
        <v>0</v>
      </c>
      <c r="L106" s="15">
        <f>28500+K106</f>
        <v>28500</v>
      </c>
      <c r="M106" s="119">
        <f t="shared" si="16"/>
        <v>16300</v>
      </c>
      <c r="N106" s="124">
        <f t="shared" si="16"/>
        <v>4100</v>
      </c>
      <c r="O106" s="31">
        <v>0</v>
      </c>
      <c r="P106" s="123">
        <v>0</v>
      </c>
    </row>
    <row r="107" spans="1:16" ht="15.75" thickBot="1">
      <c r="A107" s="29" t="s">
        <v>99</v>
      </c>
      <c r="B107" s="359" t="s">
        <v>100</v>
      </c>
      <c r="C107" s="360"/>
      <c r="D107" s="361"/>
      <c r="E107" s="108"/>
      <c r="F107" s="108">
        <f>15000+E107</f>
        <v>15000</v>
      </c>
      <c r="G107" s="13"/>
      <c r="H107" s="13"/>
      <c r="I107" s="13"/>
      <c r="J107" s="13"/>
      <c r="K107" s="84">
        <f t="shared" si="15"/>
        <v>0</v>
      </c>
      <c r="L107" s="15">
        <f t="shared" si="14"/>
        <v>0</v>
      </c>
      <c r="M107" s="119">
        <f t="shared" si="16"/>
        <v>0</v>
      </c>
      <c r="N107" s="124">
        <f t="shared" si="16"/>
        <v>15000</v>
      </c>
      <c r="O107" s="31">
        <v>0</v>
      </c>
      <c r="P107" s="123">
        <v>0</v>
      </c>
    </row>
    <row r="108" spans="1:16" ht="15.75" thickBot="1">
      <c r="A108" s="29" t="s">
        <v>101</v>
      </c>
      <c r="B108" s="384" t="s">
        <v>102</v>
      </c>
      <c r="C108" s="385"/>
      <c r="D108" s="386"/>
      <c r="E108" s="108"/>
      <c r="F108" s="108"/>
      <c r="G108" s="13"/>
      <c r="H108" s="13"/>
      <c r="I108" s="13"/>
      <c r="J108" s="13"/>
      <c r="K108" s="84">
        <f t="shared" si="15"/>
        <v>0</v>
      </c>
      <c r="L108" s="15">
        <f t="shared" si="14"/>
        <v>0</v>
      </c>
      <c r="M108" s="119">
        <f t="shared" si="16"/>
        <v>0</v>
      </c>
      <c r="N108" s="124">
        <f t="shared" si="16"/>
        <v>0</v>
      </c>
      <c r="O108" s="31">
        <v>0</v>
      </c>
      <c r="P108" s="123">
        <v>0</v>
      </c>
    </row>
    <row r="109" spans="1:16" ht="15.75" thickBot="1">
      <c r="A109" s="29" t="s">
        <v>103</v>
      </c>
      <c r="B109" s="359" t="s">
        <v>104</v>
      </c>
      <c r="C109" s="360"/>
      <c r="D109" s="361"/>
      <c r="E109" s="108"/>
      <c r="F109" s="108"/>
      <c r="G109" s="13"/>
      <c r="H109" s="13"/>
      <c r="I109" s="13"/>
      <c r="J109" s="13"/>
      <c r="K109" s="84">
        <f t="shared" si="15"/>
        <v>0</v>
      </c>
      <c r="L109" s="15">
        <f t="shared" si="14"/>
        <v>0</v>
      </c>
      <c r="M109" s="119">
        <f t="shared" si="16"/>
        <v>0</v>
      </c>
      <c r="N109" s="124">
        <f t="shared" si="16"/>
        <v>0</v>
      </c>
      <c r="O109" s="31">
        <v>0</v>
      </c>
      <c r="P109" s="123">
        <v>0</v>
      </c>
    </row>
    <row r="110" spans="1:16" ht="15.75" thickBot="1">
      <c r="A110" s="29" t="s">
        <v>105</v>
      </c>
      <c r="B110" s="359" t="s">
        <v>106</v>
      </c>
      <c r="C110" s="360"/>
      <c r="D110" s="361"/>
      <c r="E110" s="108"/>
      <c r="F110" s="108"/>
      <c r="G110" s="13"/>
      <c r="H110" s="13"/>
      <c r="I110" s="13"/>
      <c r="J110" s="13"/>
      <c r="K110" s="84">
        <f t="shared" si="15"/>
        <v>0</v>
      </c>
      <c r="L110" s="15">
        <f t="shared" si="14"/>
        <v>0</v>
      </c>
      <c r="M110" s="119">
        <f t="shared" si="16"/>
        <v>0</v>
      </c>
      <c r="N110" s="124">
        <f t="shared" si="16"/>
        <v>0</v>
      </c>
      <c r="O110" s="31">
        <v>0</v>
      </c>
      <c r="P110" s="123">
        <v>0</v>
      </c>
    </row>
    <row r="111" spans="1:16" ht="15.75" thickBot="1">
      <c r="A111" s="29" t="s">
        <v>107</v>
      </c>
      <c r="B111" s="384" t="s">
        <v>108</v>
      </c>
      <c r="C111" s="385"/>
      <c r="D111" s="386"/>
      <c r="E111" s="108"/>
      <c r="F111" s="108"/>
      <c r="G111" s="13"/>
      <c r="H111" s="13"/>
      <c r="I111" s="13"/>
      <c r="J111" s="13"/>
      <c r="K111" s="84">
        <f t="shared" si="15"/>
        <v>0</v>
      </c>
      <c r="L111" s="15">
        <f t="shared" si="14"/>
        <v>0</v>
      </c>
      <c r="M111" s="119">
        <f t="shared" si="16"/>
        <v>0</v>
      </c>
      <c r="N111" s="124">
        <f t="shared" si="16"/>
        <v>0</v>
      </c>
      <c r="O111" s="31">
        <v>0</v>
      </c>
      <c r="P111" s="123">
        <v>0</v>
      </c>
    </row>
    <row r="112" spans="1:16" ht="15.75" thickBot="1">
      <c r="A112" s="29" t="s">
        <v>109</v>
      </c>
      <c r="B112" s="359" t="s">
        <v>110</v>
      </c>
      <c r="C112" s="360"/>
      <c r="D112" s="361"/>
      <c r="E112" s="108"/>
      <c r="F112" s="108"/>
      <c r="G112" s="13"/>
      <c r="H112" s="13"/>
      <c r="I112" s="13"/>
      <c r="J112" s="13"/>
      <c r="K112" s="84">
        <f t="shared" si="15"/>
        <v>0</v>
      </c>
      <c r="L112" s="15">
        <f t="shared" si="14"/>
        <v>0</v>
      </c>
      <c r="M112" s="119">
        <f t="shared" si="16"/>
        <v>0</v>
      </c>
      <c r="N112" s="124">
        <f t="shared" si="16"/>
        <v>0</v>
      </c>
      <c r="O112" s="31">
        <v>0</v>
      </c>
      <c r="P112" s="123">
        <v>0</v>
      </c>
    </row>
    <row r="113" spans="1:16" ht="15.75" thickBot="1">
      <c r="A113" s="29" t="s">
        <v>111</v>
      </c>
      <c r="B113" s="359" t="s">
        <v>112</v>
      </c>
      <c r="C113" s="360"/>
      <c r="D113" s="361"/>
      <c r="E113" s="108"/>
      <c r="F113" s="108">
        <f>40000+E113</f>
        <v>40000</v>
      </c>
      <c r="G113" s="13">
        <v>14490</v>
      </c>
      <c r="H113" s="13"/>
      <c r="I113" s="13"/>
      <c r="J113" s="13"/>
      <c r="K113" s="84">
        <f t="shared" si="15"/>
        <v>14490</v>
      </c>
      <c r="L113" s="15">
        <f t="shared" si="14"/>
        <v>14490</v>
      </c>
      <c r="M113" s="119">
        <f t="shared" si="16"/>
        <v>-14490</v>
      </c>
      <c r="N113" s="124">
        <f t="shared" si="16"/>
        <v>25510</v>
      </c>
      <c r="O113" s="31">
        <v>0</v>
      </c>
      <c r="P113" s="123">
        <v>0</v>
      </c>
    </row>
    <row r="114" spans="1:16" ht="15.75" thickBot="1">
      <c r="A114" s="29" t="s">
        <v>113</v>
      </c>
      <c r="B114" s="359" t="s">
        <v>114</v>
      </c>
      <c r="C114" s="360"/>
      <c r="D114" s="361"/>
      <c r="E114" s="108">
        <v>1500</v>
      </c>
      <c r="F114" s="108">
        <f>3000+E114</f>
        <v>4500</v>
      </c>
      <c r="G114" s="13">
        <v>3979.7</v>
      </c>
      <c r="H114" s="13"/>
      <c r="I114" s="13"/>
      <c r="J114" s="13"/>
      <c r="K114" s="84">
        <f t="shared" si="15"/>
        <v>3979.7</v>
      </c>
      <c r="L114" s="15">
        <f>3090.01+K114</f>
        <v>7069.71</v>
      </c>
      <c r="M114" s="119">
        <f t="shared" si="16"/>
        <v>-2479.7</v>
      </c>
      <c r="N114" s="124">
        <f t="shared" si="16"/>
        <v>-2569.71</v>
      </c>
      <c r="O114" s="31">
        <v>0</v>
      </c>
      <c r="P114" s="123">
        <v>0</v>
      </c>
    </row>
    <row r="115" spans="1:16" ht="15.75" thickBot="1">
      <c r="A115" s="29" t="s">
        <v>115</v>
      </c>
      <c r="B115" s="359" t="s">
        <v>116</v>
      </c>
      <c r="C115" s="360"/>
      <c r="D115" s="361"/>
      <c r="E115" s="108"/>
      <c r="F115" s="108"/>
      <c r="G115" s="13"/>
      <c r="H115" s="13"/>
      <c r="I115" s="13"/>
      <c r="J115" s="13"/>
      <c r="K115" s="84">
        <f t="shared" si="15"/>
        <v>0</v>
      </c>
      <c r="L115" s="15">
        <f t="shared" si="14"/>
        <v>0</v>
      </c>
      <c r="M115" s="119">
        <f t="shared" si="16"/>
        <v>0</v>
      </c>
      <c r="N115" s="124">
        <f t="shared" si="16"/>
        <v>0</v>
      </c>
      <c r="O115" s="31">
        <v>0</v>
      </c>
      <c r="P115" s="123">
        <v>0</v>
      </c>
    </row>
    <row r="116" spans="1:16" ht="18.75" customHeight="1" thickBot="1">
      <c r="A116" s="29" t="s">
        <v>117</v>
      </c>
      <c r="B116" s="359" t="s">
        <v>118</v>
      </c>
      <c r="C116" s="360"/>
      <c r="D116" s="361"/>
      <c r="E116" s="108"/>
      <c r="F116" s="108"/>
      <c r="G116" s="13"/>
      <c r="H116" s="13"/>
      <c r="I116" s="13"/>
      <c r="J116" s="13"/>
      <c r="K116" s="84">
        <f t="shared" si="15"/>
        <v>0</v>
      </c>
      <c r="L116" s="15">
        <f t="shared" si="14"/>
        <v>0</v>
      </c>
      <c r="M116" s="119">
        <f t="shared" si="16"/>
        <v>0</v>
      </c>
      <c r="N116" s="124">
        <f t="shared" si="16"/>
        <v>0</v>
      </c>
      <c r="O116" s="31">
        <v>0</v>
      </c>
      <c r="P116" s="123">
        <v>0</v>
      </c>
    </row>
    <row r="117" spans="1:16" ht="32.25" customHeight="1" thickBot="1">
      <c r="A117" s="29"/>
      <c r="B117" s="359" t="s">
        <v>119</v>
      </c>
      <c r="C117" s="360"/>
      <c r="D117" s="361"/>
      <c r="E117" s="108"/>
      <c r="F117" s="108"/>
      <c r="G117" s="13"/>
      <c r="H117" s="13"/>
      <c r="I117" s="13"/>
      <c r="J117" s="13"/>
      <c r="K117" s="84">
        <f t="shared" si="15"/>
        <v>0</v>
      </c>
      <c r="L117" s="15">
        <f t="shared" si="14"/>
        <v>0</v>
      </c>
      <c r="M117" s="119">
        <f t="shared" si="16"/>
        <v>0</v>
      </c>
      <c r="N117" s="124">
        <f t="shared" si="16"/>
        <v>0</v>
      </c>
      <c r="O117" s="31">
        <v>0</v>
      </c>
      <c r="P117" s="123">
        <v>0</v>
      </c>
    </row>
    <row r="118" spans="1:16" ht="28.5" customHeight="1" thickBot="1">
      <c r="A118" s="29" t="s">
        <v>120</v>
      </c>
      <c r="B118" s="359" t="s">
        <v>121</v>
      </c>
      <c r="C118" s="360"/>
      <c r="D118" s="361"/>
      <c r="E118" s="108"/>
      <c r="F118" s="108"/>
      <c r="G118" s="13">
        <v>273.86</v>
      </c>
      <c r="H118" s="13"/>
      <c r="I118" s="13"/>
      <c r="J118" s="13"/>
      <c r="K118" s="84">
        <f t="shared" si="15"/>
        <v>273.86</v>
      </c>
      <c r="L118" s="15">
        <f>1553.63+K118</f>
        <v>1827.4900000000002</v>
      </c>
      <c r="M118" s="119">
        <f t="shared" si="16"/>
        <v>-273.86</v>
      </c>
      <c r="N118" s="124">
        <f t="shared" si="16"/>
        <v>-1827.4900000000002</v>
      </c>
      <c r="O118" s="31">
        <v>0</v>
      </c>
      <c r="P118" s="123">
        <v>0</v>
      </c>
    </row>
    <row r="119" spans="1:16" ht="32.25" customHeight="1" thickBot="1">
      <c r="A119" s="29" t="s">
        <v>211</v>
      </c>
      <c r="B119" s="381" t="s">
        <v>122</v>
      </c>
      <c r="C119" s="382"/>
      <c r="D119" s="383"/>
      <c r="E119" s="108"/>
      <c r="F119" s="108">
        <f>36000+E119</f>
        <v>36000</v>
      </c>
      <c r="G119" s="13">
        <v>9085</v>
      </c>
      <c r="H119" s="13"/>
      <c r="I119" s="13"/>
      <c r="J119" s="13"/>
      <c r="K119" s="84">
        <f t="shared" si="15"/>
        <v>9085</v>
      </c>
      <c r="L119" s="15">
        <f>36075.38+K119</f>
        <v>45160.38</v>
      </c>
      <c r="M119" s="119">
        <f t="shared" si="16"/>
        <v>-9085</v>
      </c>
      <c r="N119" s="124">
        <f t="shared" si="16"/>
        <v>-9160.379999999997</v>
      </c>
      <c r="O119" s="31">
        <v>0</v>
      </c>
      <c r="P119" s="123">
        <v>0</v>
      </c>
    </row>
    <row r="120" spans="1:16" ht="15.75" thickBot="1">
      <c r="A120" s="34" t="s">
        <v>123</v>
      </c>
      <c r="B120" s="359" t="s">
        <v>124</v>
      </c>
      <c r="C120" s="360"/>
      <c r="D120" s="361"/>
      <c r="E120" s="108"/>
      <c r="F120" s="108"/>
      <c r="G120" s="13"/>
      <c r="H120" s="13"/>
      <c r="I120" s="13"/>
      <c r="J120" s="13"/>
      <c r="K120" s="84">
        <f t="shared" si="15"/>
        <v>0</v>
      </c>
      <c r="L120" s="15">
        <f t="shared" si="14"/>
        <v>0</v>
      </c>
      <c r="M120" s="119">
        <f t="shared" si="16"/>
        <v>0</v>
      </c>
      <c r="N120" s="124">
        <f t="shared" si="16"/>
        <v>0</v>
      </c>
      <c r="O120" s="31">
        <v>0</v>
      </c>
      <c r="P120" s="123">
        <v>0</v>
      </c>
    </row>
    <row r="121" spans="1:16" ht="15">
      <c r="A121" s="35"/>
      <c r="B121" s="362" t="s">
        <v>30</v>
      </c>
      <c r="C121" s="362"/>
      <c r="D121" s="362"/>
      <c r="E121" s="362"/>
      <c r="F121" s="362"/>
      <c r="G121" s="362"/>
      <c r="H121" s="362"/>
      <c r="I121" s="362"/>
      <c r="J121" s="362"/>
      <c r="K121" s="362"/>
      <c r="L121" s="362"/>
      <c r="M121" s="362"/>
      <c r="N121" s="362"/>
      <c r="O121" s="362"/>
      <c r="P121" s="363"/>
    </row>
    <row r="122" spans="1:16" ht="10.5" customHeight="1" thickBot="1">
      <c r="A122" s="36"/>
      <c r="B122" s="364"/>
      <c r="C122" s="364"/>
      <c r="D122" s="364"/>
      <c r="E122" s="364"/>
      <c r="F122" s="364"/>
      <c r="G122" s="364"/>
      <c r="H122" s="364"/>
      <c r="I122" s="364"/>
      <c r="J122" s="364"/>
      <c r="K122" s="364"/>
      <c r="L122" s="364"/>
      <c r="M122" s="364"/>
      <c r="N122" s="364"/>
      <c r="O122" s="364"/>
      <c r="P122" s="365"/>
    </row>
    <row r="123" spans="1:16" ht="15.75" thickBot="1">
      <c r="A123" s="37"/>
      <c r="B123" s="366" t="s">
        <v>14</v>
      </c>
      <c r="C123" s="367"/>
      <c r="D123" s="368"/>
      <c r="E123" s="372" t="s">
        <v>24</v>
      </c>
      <c r="F123" s="374" t="s">
        <v>25</v>
      </c>
      <c r="G123" s="376" t="s">
        <v>31</v>
      </c>
      <c r="H123" s="377"/>
      <c r="I123" s="377"/>
      <c r="J123" s="377"/>
      <c r="K123" s="378"/>
      <c r="L123" s="379" t="s">
        <v>16</v>
      </c>
      <c r="M123" s="379" t="s">
        <v>17</v>
      </c>
      <c r="N123" s="379" t="s">
        <v>18</v>
      </c>
      <c r="O123" s="379" t="s">
        <v>19</v>
      </c>
      <c r="P123" s="379" t="s">
        <v>20</v>
      </c>
    </row>
    <row r="124" spans="1:16" ht="62.25" customHeight="1" thickBot="1">
      <c r="A124" s="159"/>
      <c r="B124" s="369"/>
      <c r="C124" s="370"/>
      <c r="D124" s="371"/>
      <c r="E124" s="373"/>
      <c r="F124" s="375"/>
      <c r="G124" s="59" t="s">
        <v>32</v>
      </c>
      <c r="H124" s="59" t="s">
        <v>33</v>
      </c>
      <c r="I124" s="59" t="s">
        <v>34</v>
      </c>
      <c r="J124" s="61" t="s">
        <v>220</v>
      </c>
      <c r="K124" s="85" t="s">
        <v>27</v>
      </c>
      <c r="L124" s="380"/>
      <c r="M124" s="380"/>
      <c r="N124" s="380"/>
      <c r="O124" s="380"/>
      <c r="P124" s="380"/>
    </row>
    <row r="125" spans="1:16" ht="15.75" thickBot="1">
      <c r="A125" s="38"/>
      <c r="B125" s="350">
        <v>1</v>
      </c>
      <c r="C125" s="351"/>
      <c r="D125" s="352"/>
      <c r="E125" s="7" t="s">
        <v>22</v>
      </c>
      <c r="F125" s="149">
        <v>3</v>
      </c>
      <c r="G125" s="149">
        <v>4</v>
      </c>
      <c r="H125" s="149">
        <v>5</v>
      </c>
      <c r="I125" s="5">
        <v>6</v>
      </c>
      <c r="J125" s="5">
        <v>7</v>
      </c>
      <c r="K125" s="89">
        <v>8</v>
      </c>
      <c r="L125" s="153">
        <v>9</v>
      </c>
      <c r="M125" s="5">
        <v>10</v>
      </c>
      <c r="N125" s="153">
        <v>11</v>
      </c>
      <c r="O125" s="5">
        <v>12</v>
      </c>
      <c r="P125" s="153">
        <v>13</v>
      </c>
    </row>
    <row r="126" spans="1:16" ht="27.75" thickBot="1">
      <c r="A126" s="115" t="s">
        <v>125</v>
      </c>
      <c r="B126" s="514" t="s">
        <v>126</v>
      </c>
      <c r="C126" s="515"/>
      <c r="D126" s="516"/>
      <c r="E126" s="108"/>
      <c r="F126" s="108"/>
      <c r="G126" s="13"/>
      <c r="H126" s="13"/>
      <c r="I126" s="13"/>
      <c r="J126" s="13"/>
      <c r="K126" s="84">
        <f aca="true" t="shared" si="17" ref="K126:K140">G126</f>
        <v>0</v>
      </c>
      <c r="L126" s="15">
        <f aca="true" t="shared" si="18" ref="L126:L140">0+K126</f>
        <v>0</v>
      </c>
      <c r="M126" s="119">
        <f aca="true" t="shared" si="19" ref="M126:N141">E126-K126</f>
        <v>0</v>
      </c>
      <c r="N126" s="124">
        <f t="shared" si="19"/>
        <v>0</v>
      </c>
      <c r="O126" s="31">
        <v>0</v>
      </c>
      <c r="P126" s="123">
        <v>0</v>
      </c>
    </row>
    <row r="127" spans="1:16" ht="27.75" thickBot="1">
      <c r="A127" s="116" t="s">
        <v>127</v>
      </c>
      <c r="B127" s="427" t="s">
        <v>128</v>
      </c>
      <c r="C127" s="428"/>
      <c r="D127" s="429"/>
      <c r="E127" s="108"/>
      <c r="F127" s="108"/>
      <c r="G127" s="13"/>
      <c r="H127" s="13"/>
      <c r="I127" s="13"/>
      <c r="J127" s="13"/>
      <c r="K127" s="84">
        <f t="shared" si="17"/>
        <v>0</v>
      </c>
      <c r="L127" s="15">
        <f t="shared" si="18"/>
        <v>0</v>
      </c>
      <c r="M127" s="119">
        <f t="shared" si="19"/>
        <v>0</v>
      </c>
      <c r="N127" s="124">
        <f t="shared" si="19"/>
        <v>0</v>
      </c>
      <c r="O127" s="31">
        <v>0</v>
      </c>
      <c r="P127" s="123">
        <v>0</v>
      </c>
    </row>
    <row r="128" spans="1:16" ht="30.75" thickBot="1">
      <c r="A128" s="39" t="s">
        <v>129</v>
      </c>
      <c r="B128" s="359" t="s">
        <v>130</v>
      </c>
      <c r="C128" s="360"/>
      <c r="D128" s="361"/>
      <c r="E128" s="108"/>
      <c r="F128" s="108"/>
      <c r="G128" s="13"/>
      <c r="H128" s="13"/>
      <c r="I128" s="13">
        <v>0</v>
      </c>
      <c r="J128" s="13"/>
      <c r="K128" s="84">
        <f>I128</f>
        <v>0</v>
      </c>
      <c r="L128" s="15">
        <f>92173+K128</f>
        <v>92173</v>
      </c>
      <c r="M128" s="119">
        <f t="shared" si="19"/>
        <v>0</v>
      </c>
      <c r="N128" s="124">
        <f t="shared" si="19"/>
        <v>-92173</v>
      </c>
      <c r="O128" s="31">
        <v>0</v>
      </c>
      <c r="P128" s="123">
        <v>0</v>
      </c>
    </row>
    <row r="129" spans="1:16" ht="30.75" customHeight="1" thickBot="1">
      <c r="A129" s="39" t="s">
        <v>131</v>
      </c>
      <c r="B129" s="387" t="s">
        <v>217</v>
      </c>
      <c r="C129" s="388"/>
      <c r="D129" s="389"/>
      <c r="E129" s="108">
        <v>12751</v>
      </c>
      <c r="F129" s="108">
        <f>25500+E129</f>
        <v>38251</v>
      </c>
      <c r="G129" s="13"/>
      <c r="H129" s="13"/>
      <c r="I129" s="13"/>
      <c r="J129" s="13"/>
      <c r="K129" s="84">
        <f t="shared" si="17"/>
        <v>0</v>
      </c>
      <c r="L129" s="15">
        <f>0+K129</f>
        <v>0</v>
      </c>
      <c r="M129" s="119">
        <f t="shared" si="19"/>
        <v>12751</v>
      </c>
      <c r="N129" s="124">
        <f t="shared" si="19"/>
        <v>38251</v>
      </c>
      <c r="O129" s="31">
        <v>0</v>
      </c>
      <c r="P129" s="123">
        <v>0</v>
      </c>
    </row>
    <row r="130" spans="1:16" ht="30.75" thickBot="1">
      <c r="A130" s="73" t="s">
        <v>133</v>
      </c>
      <c r="B130" s="359" t="s">
        <v>134</v>
      </c>
      <c r="C130" s="360"/>
      <c r="D130" s="361"/>
      <c r="E130" s="108"/>
      <c r="F130" s="108"/>
      <c r="G130" s="13"/>
      <c r="H130" s="13"/>
      <c r="I130" s="13"/>
      <c r="J130" s="13"/>
      <c r="K130" s="84">
        <f t="shared" si="17"/>
        <v>0</v>
      </c>
      <c r="L130" s="15">
        <f t="shared" si="18"/>
        <v>0</v>
      </c>
      <c r="M130" s="119">
        <f t="shared" si="19"/>
        <v>0</v>
      </c>
      <c r="N130" s="124">
        <f t="shared" si="19"/>
        <v>0</v>
      </c>
      <c r="O130" s="31">
        <v>0</v>
      </c>
      <c r="P130" s="123">
        <v>0</v>
      </c>
    </row>
    <row r="131" spans="1:16" ht="30.75" thickBot="1">
      <c r="A131" s="73" t="s">
        <v>135</v>
      </c>
      <c r="B131" s="511" t="s">
        <v>136</v>
      </c>
      <c r="C131" s="512"/>
      <c r="D131" s="513"/>
      <c r="E131" s="108"/>
      <c r="F131" s="108">
        <f>6000+E131</f>
        <v>6000</v>
      </c>
      <c r="G131" s="13">
        <v>5694.67</v>
      </c>
      <c r="H131" s="13"/>
      <c r="I131" s="13"/>
      <c r="J131" s="13"/>
      <c r="K131" s="84">
        <f t="shared" si="17"/>
        <v>5694.67</v>
      </c>
      <c r="L131" s="15">
        <f t="shared" si="18"/>
        <v>5694.67</v>
      </c>
      <c r="M131" s="119">
        <f t="shared" si="19"/>
        <v>-5694.67</v>
      </c>
      <c r="N131" s="124">
        <f t="shared" si="19"/>
        <v>305.3299999999999</v>
      </c>
      <c r="O131" s="31">
        <v>0</v>
      </c>
      <c r="P131" s="123">
        <v>0</v>
      </c>
    </row>
    <row r="132" spans="1:19" ht="33.75" customHeight="1" thickBot="1">
      <c r="A132" s="40">
        <v>15</v>
      </c>
      <c r="B132" s="338" t="s">
        <v>137</v>
      </c>
      <c r="C132" s="338"/>
      <c r="D132" s="339"/>
      <c r="E132" s="114">
        <v>0</v>
      </c>
      <c r="F132" s="108"/>
      <c r="G132" s="32"/>
      <c r="H132" s="32"/>
      <c r="I132" s="32"/>
      <c r="J132" s="32"/>
      <c r="K132" s="84">
        <f t="shared" si="17"/>
        <v>0</v>
      </c>
      <c r="L132" s="15">
        <f t="shared" si="18"/>
        <v>0</v>
      </c>
      <c r="M132" s="119">
        <f t="shared" si="19"/>
        <v>0</v>
      </c>
      <c r="N132" s="124">
        <f t="shared" si="19"/>
        <v>0</v>
      </c>
      <c r="O132" s="31">
        <v>0</v>
      </c>
      <c r="P132" s="123">
        <v>0</v>
      </c>
      <c r="Q132" s="1"/>
      <c r="R132" s="1"/>
      <c r="S132" s="1"/>
    </row>
    <row r="133" spans="1:19" ht="21" customHeight="1" thickBot="1">
      <c r="A133" s="29" t="s">
        <v>187</v>
      </c>
      <c r="B133" s="390" t="s">
        <v>152</v>
      </c>
      <c r="C133" s="391"/>
      <c r="D133" s="392"/>
      <c r="E133" s="112"/>
      <c r="F133" s="108"/>
      <c r="G133" s="32"/>
      <c r="H133" s="32"/>
      <c r="I133" s="32"/>
      <c r="J133" s="32"/>
      <c r="K133" s="84">
        <f t="shared" si="17"/>
        <v>0</v>
      </c>
      <c r="L133" s="15">
        <f t="shared" si="18"/>
        <v>0</v>
      </c>
      <c r="M133" s="119">
        <f t="shared" si="19"/>
        <v>0</v>
      </c>
      <c r="N133" s="124">
        <f t="shared" si="19"/>
        <v>0</v>
      </c>
      <c r="O133" s="31">
        <v>0</v>
      </c>
      <c r="P133" s="123">
        <v>0</v>
      </c>
      <c r="Q133" s="1"/>
      <c r="R133" s="1"/>
      <c r="S133" s="1"/>
    </row>
    <row r="134" spans="1:19" ht="29.25" customHeight="1" thickBot="1">
      <c r="A134" s="29" t="s">
        <v>188</v>
      </c>
      <c r="B134" s="340" t="s">
        <v>171</v>
      </c>
      <c r="C134" s="341"/>
      <c r="D134" s="342"/>
      <c r="E134" s="112"/>
      <c r="F134" s="108"/>
      <c r="G134" s="32"/>
      <c r="H134" s="32"/>
      <c r="I134" s="32"/>
      <c r="J134" s="32"/>
      <c r="K134" s="84">
        <f t="shared" si="17"/>
        <v>0</v>
      </c>
      <c r="L134" s="15">
        <f t="shared" si="18"/>
        <v>0</v>
      </c>
      <c r="M134" s="119">
        <f t="shared" si="19"/>
        <v>0</v>
      </c>
      <c r="N134" s="124">
        <f t="shared" si="19"/>
        <v>0</v>
      </c>
      <c r="O134" s="31">
        <v>0</v>
      </c>
      <c r="P134" s="123">
        <v>0</v>
      </c>
      <c r="Q134" s="1"/>
      <c r="R134" s="1"/>
      <c r="S134" s="1"/>
    </row>
    <row r="135" spans="1:19" ht="28.5" customHeight="1" thickBot="1">
      <c r="A135" s="41">
        <v>16</v>
      </c>
      <c r="B135" s="338" t="s">
        <v>138</v>
      </c>
      <c r="C135" s="338"/>
      <c r="D135" s="339"/>
      <c r="E135" s="114">
        <v>0</v>
      </c>
      <c r="F135" s="108"/>
      <c r="G135" s="32"/>
      <c r="H135" s="32"/>
      <c r="I135" s="32"/>
      <c r="J135" s="32"/>
      <c r="K135" s="84">
        <f t="shared" si="17"/>
        <v>0</v>
      </c>
      <c r="L135" s="15">
        <f t="shared" si="18"/>
        <v>0</v>
      </c>
      <c r="M135" s="119">
        <f t="shared" si="19"/>
        <v>0</v>
      </c>
      <c r="N135" s="124">
        <f t="shared" si="19"/>
        <v>0</v>
      </c>
      <c r="O135" s="31">
        <v>0</v>
      </c>
      <c r="P135" s="123">
        <v>0</v>
      </c>
      <c r="Q135" s="1"/>
      <c r="R135" s="1"/>
      <c r="S135" s="1"/>
    </row>
    <row r="136" spans="1:19" ht="20.25" customHeight="1" thickBot="1">
      <c r="A136" s="29" t="s">
        <v>189</v>
      </c>
      <c r="B136" s="390" t="s">
        <v>152</v>
      </c>
      <c r="C136" s="391"/>
      <c r="D136" s="392"/>
      <c r="E136" s="112"/>
      <c r="F136" s="108"/>
      <c r="G136" s="32"/>
      <c r="H136" s="32"/>
      <c r="I136" s="32"/>
      <c r="J136" s="32"/>
      <c r="K136" s="84">
        <f t="shared" si="17"/>
        <v>0</v>
      </c>
      <c r="L136" s="15">
        <f t="shared" si="18"/>
        <v>0</v>
      </c>
      <c r="M136" s="119">
        <f t="shared" si="19"/>
        <v>0</v>
      </c>
      <c r="N136" s="124">
        <f t="shared" si="19"/>
        <v>0</v>
      </c>
      <c r="O136" s="31">
        <v>0</v>
      </c>
      <c r="P136" s="123">
        <v>0</v>
      </c>
      <c r="Q136" s="1"/>
      <c r="R136" s="1"/>
      <c r="S136" s="1"/>
    </row>
    <row r="137" spans="1:19" ht="26.25" customHeight="1" thickBot="1">
      <c r="A137" s="29" t="s">
        <v>190</v>
      </c>
      <c r="B137" s="340" t="s">
        <v>171</v>
      </c>
      <c r="C137" s="341"/>
      <c r="D137" s="342"/>
      <c r="E137" s="112"/>
      <c r="F137" s="108"/>
      <c r="G137" s="32"/>
      <c r="H137" s="32"/>
      <c r="I137" s="32"/>
      <c r="J137" s="32"/>
      <c r="K137" s="84">
        <f t="shared" si="17"/>
        <v>0</v>
      </c>
      <c r="L137" s="15">
        <f t="shared" si="18"/>
        <v>0</v>
      </c>
      <c r="M137" s="119">
        <f t="shared" si="19"/>
        <v>0</v>
      </c>
      <c r="N137" s="124">
        <f t="shared" si="19"/>
        <v>0</v>
      </c>
      <c r="O137" s="31">
        <v>0</v>
      </c>
      <c r="P137" s="123">
        <v>0</v>
      </c>
      <c r="Q137" s="1"/>
      <c r="R137" s="1"/>
      <c r="S137" s="1"/>
    </row>
    <row r="138" spans="1:19" ht="44.25" customHeight="1" thickBot="1">
      <c r="A138" s="40">
        <v>17</v>
      </c>
      <c r="B138" s="338" t="s">
        <v>139</v>
      </c>
      <c r="C138" s="338"/>
      <c r="D138" s="339"/>
      <c r="E138" s="114">
        <v>0</v>
      </c>
      <c r="F138" s="108"/>
      <c r="G138" s="32"/>
      <c r="H138" s="32"/>
      <c r="I138" s="32"/>
      <c r="J138" s="32"/>
      <c r="K138" s="84">
        <f t="shared" si="17"/>
        <v>0</v>
      </c>
      <c r="L138" s="15">
        <f t="shared" si="18"/>
        <v>0</v>
      </c>
      <c r="M138" s="119">
        <f t="shared" si="19"/>
        <v>0</v>
      </c>
      <c r="N138" s="124">
        <f t="shared" si="19"/>
        <v>0</v>
      </c>
      <c r="O138" s="31">
        <v>0</v>
      </c>
      <c r="P138" s="123">
        <v>0</v>
      </c>
      <c r="Q138" s="1"/>
      <c r="R138" s="1"/>
      <c r="S138" s="1"/>
    </row>
    <row r="139" spans="1:19" ht="27" customHeight="1" thickBot="1">
      <c r="A139" s="29" t="s">
        <v>191</v>
      </c>
      <c r="B139" s="340" t="s">
        <v>152</v>
      </c>
      <c r="C139" s="341"/>
      <c r="D139" s="342"/>
      <c r="E139" s="112"/>
      <c r="F139" s="108"/>
      <c r="G139" s="32"/>
      <c r="H139" s="32"/>
      <c r="I139" s="32"/>
      <c r="J139" s="32"/>
      <c r="K139" s="84">
        <f t="shared" si="17"/>
        <v>0</v>
      </c>
      <c r="L139" s="15">
        <f t="shared" si="18"/>
        <v>0</v>
      </c>
      <c r="M139" s="119">
        <f t="shared" si="19"/>
        <v>0</v>
      </c>
      <c r="N139" s="124">
        <f t="shared" si="19"/>
        <v>0</v>
      </c>
      <c r="O139" s="31">
        <v>0</v>
      </c>
      <c r="P139" s="123">
        <v>0</v>
      </c>
      <c r="Q139" s="1"/>
      <c r="R139" s="1"/>
      <c r="S139" s="1"/>
    </row>
    <row r="140" spans="1:19" ht="29.25" customHeight="1" thickBot="1">
      <c r="A140" s="29" t="s">
        <v>192</v>
      </c>
      <c r="B140" s="340" t="s">
        <v>171</v>
      </c>
      <c r="C140" s="341"/>
      <c r="D140" s="342"/>
      <c r="E140" s="112"/>
      <c r="F140" s="108"/>
      <c r="G140" s="32"/>
      <c r="H140" s="32"/>
      <c r="I140" s="32"/>
      <c r="J140" s="32"/>
      <c r="K140" s="84">
        <f t="shared" si="17"/>
        <v>0</v>
      </c>
      <c r="L140" s="15">
        <f t="shared" si="18"/>
        <v>0</v>
      </c>
      <c r="M140" s="119">
        <f t="shared" si="19"/>
        <v>0</v>
      </c>
      <c r="N140" s="124">
        <f t="shared" si="19"/>
        <v>0</v>
      </c>
      <c r="O140" s="31">
        <v>0</v>
      </c>
      <c r="P140" s="123">
        <v>0</v>
      </c>
      <c r="Q140" s="1"/>
      <c r="R140" s="1"/>
      <c r="S140" s="1"/>
    </row>
    <row r="141" spans="1:19" ht="22.5" customHeight="1" thickBot="1">
      <c r="A141" s="40">
        <v>18</v>
      </c>
      <c r="B141" s="323" t="s">
        <v>140</v>
      </c>
      <c r="C141" s="323"/>
      <c r="D141" s="324"/>
      <c r="E141" s="114">
        <v>0</v>
      </c>
      <c r="F141" s="108"/>
      <c r="G141" s="32"/>
      <c r="H141" s="32"/>
      <c r="I141" s="32"/>
      <c r="J141" s="32">
        <v>176254.37</v>
      </c>
      <c r="K141" s="83">
        <f>J141</f>
        <v>176254.37</v>
      </c>
      <c r="L141" s="23">
        <f>314941.46+K141</f>
        <v>491195.83</v>
      </c>
      <c r="M141" s="120">
        <f t="shared" si="19"/>
        <v>-176254.37</v>
      </c>
      <c r="N141" s="125">
        <f t="shared" si="19"/>
        <v>-491195.83</v>
      </c>
      <c r="O141" s="26">
        <v>0</v>
      </c>
      <c r="P141" s="27">
        <v>0</v>
      </c>
      <c r="Q141" s="1"/>
      <c r="R141" s="1"/>
      <c r="S141" s="1"/>
    </row>
    <row r="142" spans="1:19" ht="72" thickBot="1">
      <c r="A142" s="43"/>
      <c r="B142" s="325" t="s">
        <v>141</v>
      </c>
      <c r="C142" s="325"/>
      <c r="D142" s="325"/>
      <c r="E142" s="325"/>
      <c r="F142" s="44"/>
      <c r="G142" s="44" t="s">
        <v>4</v>
      </c>
      <c r="H142" s="151" t="s">
        <v>5</v>
      </c>
      <c r="I142" s="326" t="s">
        <v>6</v>
      </c>
      <c r="J142" s="327"/>
      <c r="K142" s="77" t="s">
        <v>11</v>
      </c>
      <c r="L142" s="5" t="s">
        <v>8</v>
      </c>
      <c r="M142" s="5" t="s">
        <v>9</v>
      </c>
      <c r="N142" s="45" t="s">
        <v>10</v>
      </c>
      <c r="O142" s="46"/>
      <c r="P142" s="152"/>
      <c r="Q142" s="1"/>
      <c r="R142" s="1"/>
      <c r="S142" s="1"/>
    </row>
    <row r="143" spans="1:19" ht="23.25" customHeight="1" thickBot="1">
      <c r="A143" s="42"/>
      <c r="B143" s="328" t="s">
        <v>12</v>
      </c>
      <c r="C143" s="328"/>
      <c r="D143" s="328"/>
      <c r="E143" s="329"/>
      <c r="F143" s="47"/>
      <c r="G143" s="47">
        <v>0</v>
      </c>
      <c r="H143" s="3">
        <v>0</v>
      </c>
      <c r="I143" s="330">
        <v>0</v>
      </c>
      <c r="J143" s="331"/>
      <c r="K143" s="86"/>
      <c r="L143" s="3">
        <v>0</v>
      </c>
      <c r="M143" s="147">
        <v>0</v>
      </c>
      <c r="N143" s="147">
        <v>0</v>
      </c>
      <c r="O143" s="3"/>
      <c r="P143" s="3">
        <v>0</v>
      </c>
      <c r="Q143" s="1"/>
      <c r="R143" s="1"/>
      <c r="S143" s="1"/>
    </row>
    <row r="144" spans="1:19" ht="27" customHeight="1" thickBot="1">
      <c r="A144" s="43"/>
      <c r="B144" s="328" t="s">
        <v>13</v>
      </c>
      <c r="C144" s="328"/>
      <c r="D144" s="328"/>
      <c r="E144" s="329"/>
      <c r="F144" s="3"/>
      <c r="G144" s="3">
        <f>F10+G17-G32-G36-G40-G45-G55-G65-G68-G72-G75-G79-G89-G102-G133-G136-G139</f>
        <v>43198.119999999944</v>
      </c>
      <c r="H144" s="3">
        <f>G18+H10-H29</f>
        <v>401820.06999999995</v>
      </c>
      <c r="I144" s="330">
        <f>I10+G19-I104</f>
        <v>41076</v>
      </c>
      <c r="J144" s="331"/>
      <c r="K144" s="86">
        <f>O10+G22-J54</f>
        <v>15080.300000000003</v>
      </c>
      <c r="L144" s="3">
        <f>L10+G23-J141</f>
        <v>83835.79999999999</v>
      </c>
      <c r="M144" s="147">
        <v>0</v>
      </c>
      <c r="N144" s="3">
        <v>0</v>
      </c>
      <c r="O144" s="48"/>
      <c r="P144" s="3">
        <f>SUM(G144:O144)</f>
        <v>585010.2899999998</v>
      </c>
      <c r="Q144" s="1"/>
      <c r="R144" s="1"/>
      <c r="S144" s="18"/>
    </row>
    <row r="145" spans="1:19" ht="24.75" customHeight="1" thickBot="1">
      <c r="A145" s="49"/>
      <c r="B145" s="344" t="s">
        <v>221</v>
      </c>
      <c r="C145" s="344"/>
      <c r="D145" s="344"/>
      <c r="E145" s="345"/>
      <c r="F145" s="346"/>
      <c r="G145" s="346"/>
      <c r="H145" s="346"/>
      <c r="I145" s="346"/>
      <c r="J145" s="346"/>
      <c r="K145" s="346"/>
      <c r="L145" s="346"/>
      <c r="M145" s="346"/>
      <c r="N145" s="347"/>
      <c r="O145" s="348"/>
      <c r="P145" s="50">
        <f>P144</f>
        <v>585010.2899999998</v>
      </c>
      <c r="Q145" s="1"/>
      <c r="R145" s="18">
        <f>P5+L16-L29</f>
        <v>585010.290000001</v>
      </c>
      <c r="S145" s="18"/>
    </row>
    <row r="146" spans="1:19" ht="15">
      <c r="A146" s="1"/>
      <c r="B146" s="51"/>
      <c r="C146" s="51"/>
      <c r="D146" s="51"/>
      <c r="E146" s="51"/>
      <c r="F146" s="52"/>
      <c r="G146" s="52"/>
      <c r="H146" s="52"/>
      <c r="I146" s="52"/>
      <c r="J146" s="52"/>
      <c r="K146" s="87"/>
      <c r="L146" s="52"/>
      <c r="M146" s="52"/>
      <c r="N146" s="52"/>
      <c r="O146" s="53"/>
      <c r="P146" s="54"/>
      <c r="Q146" s="1"/>
      <c r="R146" s="18"/>
      <c r="S146" s="1"/>
    </row>
    <row r="147" spans="1:19" ht="15">
      <c r="A147" s="1"/>
      <c r="B147" s="343" t="s">
        <v>142</v>
      </c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9" t="s">
        <v>143</v>
      </c>
      <c r="P147" s="349"/>
      <c r="Q147" s="1"/>
      <c r="R147" s="1"/>
      <c r="S147" s="18">
        <v>365352.1499999948</v>
      </c>
    </row>
    <row r="148" spans="1:19" ht="15">
      <c r="A148" s="1"/>
      <c r="B148" s="343" t="s">
        <v>144</v>
      </c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 t="s">
        <v>145</v>
      </c>
      <c r="P148" s="343"/>
      <c r="Q148" s="1"/>
      <c r="R148" s="1"/>
      <c r="S148" s="1"/>
    </row>
    <row r="149" spans="1:19" ht="15">
      <c r="A149" s="1"/>
      <c r="B149" s="160"/>
      <c r="C149" s="160"/>
      <c r="D149" s="160"/>
      <c r="E149" s="160"/>
      <c r="F149" s="160"/>
      <c r="G149" s="160"/>
      <c r="H149" s="160"/>
      <c r="I149" s="160"/>
      <c r="J149" s="55"/>
      <c r="K149" s="88"/>
      <c r="L149" s="55"/>
      <c r="M149" s="160"/>
      <c r="N149" s="160"/>
      <c r="O149" s="160"/>
      <c r="P149" s="55"/>
      <c r="Q149" s="1"/>
      <c r="R149" s="18"/>
      <c r="S149" s="1"/>
    </row>
    <row r="151" spans="1:19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8"/>
      <c r="S151" s="1"/>
    </row>
    <row r="152" spans="1:19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8"/>
      <c r="S152" s="1"/>
    </row>
    <row r="153" spans="1:19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8"/>
      <c r="O153" s="1"/>
      <c r="P153" s="1"/>
      <c r="Q153" s="1"/>
      <c r="R153" s="1"/>
      <c r="S153" s="1"/>
    </row>
    <row r="154" spans="12:16" ht="15">
      <c r="L154" s="1"/>
      <c r="M154" s="1"/>
      <c r="N154" s="18"/>
      <c r="O154" s="1"/>
      <c r="P154" s="18"/>
    </row>
    <row r="155" spans="12:16" ht="15">
      <c r="L155" s="1"/>
      <c r="M155" s="1"/>
      <c r="N155" s="58"/>
      <c r="O155" s="1"/>
      <c r="P155" s="18"/>
    </row>
    <row r="156" spans="12:16" ht="15">
      <c r="L156" s="57"/>
      <c r="M156" s="1"/>
      <c r="N156" s="1"/>
      <c r="O156" s="1"/>
      <c r="P156" s="1"/>
    </row>
    <row r="157" spans="12:16" ht="15">
      <c r="L157" s="18"/>
      <c r="M157" s="18"/>
      <c r="N157" s="1"/>
      <c r="O157" s="1"/>
      <c r="P157" s="1"/>
    </row>
  </sheetData>
  <sheetProtection/>
  <mergeCells count="198">
    <mergeCell ref="B148:E148"/>
    <mergeCell ref="F148:N148"/>
    <mergeCell ref="O148:P148"/>
    <mergeCell ref="B144:E144"/>
    <mergeCell ref="I144:J144"/>
    <mergeCell ref="B145:E145"/>
    <mergeCell ref="F145:O145"/>
    <mergeCell ref="B147:E147"/>
    <mergeCell ref="F147:N147"/>
    <mergeCell ref="O147:P147"/>
    <mergeCell ref="B140:D140"/>
    <mergeCell ref="B141:D141"/>
    <mergeCell ref="B142:E142"/>
    <mergeCell ref="I142:J142"/>
    <mergeCell ref="B143:E143"/>
    <mergeCell ref="I143:J143"/>
    <mergeCell ref="B134:D134"/>
    <mergeCell ref="B135:D135"/>
    <mergeCell ref="B136:D136"/>
    <mergeCell ref="B137:D137"/>
    <mergeCell ref="B138:D138"/>
    <mergeCell ref="B139:D139"/>
    <mergeCell ref="B128:D128"/>
    <mergeCell ref="B129:D129"/>
    <mergeCell ref="B130:D130"/>
    <mergeCell ref="B131:D131"/>
    <mergeCell ref="B132:D132"/>
    <mergeCell ref="B133:D133"/>
    <mergeCell ref="N123:N124"/>
    <mergeCell ref="O123:O124"/>
    <mergeCell ref="P123:P124"/>
    <mergeCell ref="B125:D125"/>
    <mergeCell ref="B126:D126"/>
    <mergeCell ref="B127:D127"/>
    <mergeCell ref="B119:D119"/>
    <mergeCell ref="B120:D120"/>
    <mergeCell ref="B121:P122"/>
    <mergeCell ref="B123:D124"/>
    <mergeCell ref="E123:E124"/>
    <mergeCell ref="F123:F124"/>
    <mergeCell ref="G123:K123"/>
    <mergeCell ref="L123:L124"/>
    <mergeCell ref="M123:M124"/>
    <mergeCell ref="B113:D113"/>
    <mergeCell ref="B114:D114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  <mergeCell ref="B112:D112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M85:M86"/>
    <mergeCell ref="N85:N86"/>
    <mergeCell ref="O85:O86"/>
    <mergeCell ref="P85:P86"/>
    <mergeCell ref="B87:D87"/>
    <mergeCell ref="B88:D88"/>
    <mergeCell ref="A85:A86"/>
    <mergeCell ref="B85:D86"/>
    <mergeCell ref="E85:E86"/>
    <mergeCell ref="F85:F86"/>
    <mergeCell ref="G85:K85"/>
    <mergeCell ref="L85:L86"/>
    <mergeCell ref="B75:D75"/>
    <mergeCell ref="B76:D76"/>
    <mergeCell ref="B78:D78"/>
    <mergeCell ref="B80:D80"/>
    <mergeCell ref="B81:D81"/>
    <mergeCell ref="A83:A84"/>
    <mergeCell ref="B83:P84"/>
    <mergeCell ref="B68:D68"/>
    <mergeCell ref="B69:D69"/>
    <mergeCell ref="B70:D70"/>
    <mergeCell ref="B71:D71"/>
    <mergeCell ref="B73:D73"/>
    <mergeCell ref="B74:D74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49:D49"/>
    <mergeCell ref="B50:D50"/>
    <mergeCell ref="B51:D51"/>
    <mergeCell ref="B52:D52"/>
    <mergeCell ref="B54:D54"/>
    <mergeCell ref="B55:D55"/>
    <mergeCell ref="B42:D42"/>
    <mergeCell ref="B43:D43"/>
    <mergeCell ref="B44:D44"/>
    <mergeCell ref="B45:D45"/>
    <mergeCell ref="B46:D46"/>
    <mergeCell ref="B48:D48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M26:M27"/>
    <mergeCell ref="N26:N27"/>
    <mergeCell ref="O26:O27"/>
    <mergeCell ref="P26:P27"/>
    <mergeCell ref="B28:D28"/>
    <mergeCell ref="B29:D29"/>
    <mergeCell ref="B23:D23"/>
    <mergeCell ref="G23:J23"/>
    <mergeCell ref="A24:A25"/>
    <mergeCell ref="B24:P25"/>
    <mergeCell ref="A26:A27"/>
    <mergeCell ref="B26:D27"/>
    <mergeCell ref="E26:E27"/>
    <mergeCell ref="F26:F27"/>
    <mergeCell ref="G26:K26"/>
    <mergeCell ref="L26:L27"/>
    <mergeCell ref="B20:D20"/>
    <mergeCell ref="G20:J20"/>
    <mergeCell ref="B21:D21"/>
    <mergeCell ref="G21:J21"/>
    <mergeCell ref="B22:D22"/>
    <mergeCell ref="G22:J22"/>
    <mergeCell ref="B17:D17"/>
    <mergeCell ref="G17:J17"/>
    <mergeCell ref="B18:D18"/>
    <mergeCell ref="G18:J18"/>
    <mergeCell ref="B19:D19"/>
    <mergeCell ref="G19:J19"/>
    <mergeCell ref="P12:P13"/>
    <mergeCell ref="B14:D14"/>
    <mergeCell ref="G14:J14"/>
    <mergeCell ref="A15:A16"/>
    <mergeCell ref="B15:D16"/>
    <mergeCell ref="G15:J15"/>
    <mergeCell ref="G16:J16"/>
    <mergeCell ref="B11:E11"/>
    <mergeCell ref="F11:P11"/>
    <mergeCell ref="A12:A13"/>
    <mergeCell ref="B12:E13"/>
    <mergeCell ref="F12:F13"/>
    <mergeCell ref="G12:K13"/>
    <mergeCell ref="L12:L13"/>
    <mergeCell ref="M12:M13"/>
    <mergeCell ref="N12:N13"/>
    <mergeCell ref="O12:O13"/>
    <mergeCell ref="B10:E10"/>
    <mergeCell ref="F10:G10"/>
    <mergeCell ref="I10:J10"/>
    <mergeCell ref="B6:E6"/>
    <mergeCell ref="F6:O6"/>
    <mergeCell ref="B7:E7"/>
    <mergeCell ref="F7:P7"/>
    <mergeCell ref="B8:E8"/>
    <mergeCell ref="F8:G8"/>
    <mergeCell ref="I8:J8"/>
    <mergeCell ref="B1:P1"/>
    <mergeCell ref="B2:P2"/>
    <mergeCell ref="B3:P3"/>
    <mergeCell ref="B4:P4"/>
    <mergeCell ref="B5:E5"/>
    <mergeCell ref="F5:O5"/>
    <mergeCell ref="B9:E9"/>
    <mergeCell ref="F9:G9"/>
    <mergeCell ref="I9:J9"/>
  </mergeCells>
  <printOptions/>
  <pageMargins left="0.18" right="0.17" top="0.31" bottom="0.44" header="0.17" footer="0.31496062992125984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7"/>
  <sheetViews>
    <sheetView tabSelected="1" zoomScalePageLayoutView="0" workbookViewId="0" topLeftCell="A91">
      <selection activeCell="L100" sqref="L100"/>
    </sheetView>
  </sheetViews>
  <sheetFormatPr defaultColWidth="9.140625" defaultRowHeight="15"/>
  <cols>
    <col min="1" max="1" width="4.140625" style="174" customWidth="1"/>
    <col min="2" max="3" width="9.140625" style="174" customWidth="1"/>
    <col min="4" max="4" width="8.7109375" style="174" customWidth="1"/>
    <col min="5" max="5" width="12.8515625" style="174" customWidth="1"/>
    <col min="6" max="6" width="12.7109375" style="174" customWidth="1"/>
    <col min="7" max="7" width="13.140625" style="174" customWidth="1"/>
    <col min="8" max="8" width="12.8515625" style="174" customWidth="1"/>
    <col min="9" max="9" width="10.140625" style="174" customWidth="1"/>
    <col min="10" max="10" width="11.421875" style="174" customWidth="1"/>
    <col min="11" max="11" width="13.00390625" style="174" customWidth="1"/>
    <col min="12" max="12" width="13.28125" style="174" customWidth="1"/>
    <col min="13" max="13" width="13.421875" style="174" customWidth="1"/>
    <col min="14" max="14" width="11.7109375" style="174" customWidth="1"/>
    <col min="15" max="15" width="8.421875" style="174" customWidth="1"/>
    <col min="16" max="16" width="9.421875" style="174" customWidth="1"/>
    <col min="17" max="17" width="9.140625" style="174" customWidth="1"/>
    <col min="18" max="18" width="10.421875" style="174" bestFit="1" customWidth="1"/>
    <col min="19" max="16384" width="9.140625" style="174" customWidth="1"/>
  </cols>
  <sheetData>
    <row r="1" spans="1:16" ht="15">
      <c r="A1" s="173"/>
      <c r="B1" s="485" t="s">
        <v>0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</row>
    <row r="2" spans="1:16" ht="15">
      <c r="A2" s="173"/>
      <c r="B2" s="520" t="s">
        <v>223</v>
      </c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</row>
    <row r="3" spans="1:16" ht="15.75" thickBot="1">
      <c r="A3" s="173"/>
      <c r="B3" s="521" t="s">
        <v>1</v>
      </c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</row>
    <row r="4" spans="1:16" ht="15.75" thickBot="1">
      <c r="A4" s="173"/>
      <c r="B4" s="522" t="s">
        <v>2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</row>
    <row r="5" spans="1:16" ht="15.75" thickBot="1">
      <c r="A5" s="2"/>
      <c r="B5" s="523" t="s">
        <v>193</v>
      </c>
      <c r="C5" s="524"/>
      <c r="D5" s="524"/>
      <c r="E5" s="525"/>
      <c r="F5" s="346"/>
      <c r="G5" s="346"/>
      <c r="H5" s="346"/>
      <c r="I5" s="346"/>
      <c r="J5" s="346"/>
      <c r="K5" s="346"/>
      <c r="L5" s="346"/>
      <c r="M5" s="346"/>
      <c r="N5" s="346"/>
      <c r="O5" s="489"/>
      <c r="P5" s="3">
        <v>365352.15</v>
      </c>
    </row>
    <row r="6" spans="1:16" ht="15.75" thickBot="1">
      <c r="A6" s="2"/>
      <c r="B6" s="523" t="s">
        <v>224</v>
      </c>
      <c r="C6" s="524"/>
      <c r="D6" s="524"/>
      <c r="E6" s="525"/>
      <c r="F6" s="346"/>
      <c r="G6" s="346"/>
      <c r="H6" s="346"/>
      <c r="I6" s="346"/>
      <c r="J6" s="346"/>
      <c r="K6" s="346"/>
      <c r="L6" s="346"/>
      <c r="M6" s="346"/>
      <c r="N6" s="346"/>
      <c r="O6" s="489"/>
      <c r="P6" s="167">
        <f>P10</f>
        <v>585010.29</v>
      </c>
    </row>
    <row r="7" spans="1:16" ht="15.75" thickBot="1">
      <c r="A7" s="2"/>
      <c r="B7" s="526"/>
      <c r="C7" s="527"/>
      <c r="D7" s="527"/>
      <c r="E7" s="528"/>
      <c r="F7" s="529"/>
      <c r="G7" s="529"/>
      <c r="H7" s="529"/>
      <c r="I7" s="529"/>
      <c r="J7" s="529"/>
      <c r="K7" s="529"/>
      <c r="L7" s="529"/>
      <c r="M7" s="529"/>
      <c r="N7" s="530"/>
      <c r="O7" s="530"/>
      <c r="P7" s="531"/>
    </row>
    <row r="8" spans="1:16" ht="75.75" thickBot="1">
      <c r="A8" s="4"/>
      <c r="B8" s="523" t="s">
        <v>3</v>
      </c>
      <c r="C8" s="524"/>
      <c r="D8" s="524"/>
      <c r="E8" s="525"/>
      <c r="F8" s="532" t="s">
        <v>4</v>
      </c>
      <c r="G8" s="533"/>
      <c r="H8" s="175" t="s">
        <v>5</v>
      </c>
      <c r="I8" s="532" t="s">
        <v>6</v>
      </c>
      <c r="J8" s="533"/>
      <c r="K8" s="176" t="s">
        <v>7</v>
      </c>
      <c r="L8" s="175" t="s">
        <v>8</v>
      </c>
      <c r="M8" s="177" t="s">
        <v>9</v>
      </c>
      <c r="N8" s="165" t="s">
        <v>10</v>
      </c>
      <c r="O8" s="178" t="s">
        <v>11</v>
      </c>
      <c r="P8" s="179"/>
    </row>
    <row r="9" spans="1:16" ht="15.75" thickBot="1">
      <c r="A9" s="2"/>
      <c r="B9" s="490" t="s">
        <v>12</v>
      </c>
      <c r="C9" s="491"/>
      <c r="D9" s="491"/>
      <c r="E9" s="492"/>
      <c r="F9" s="330">
        <v>0</v>
      </c>
      <c r="G9" s="331"/>
      <c r="H9" s="3">
        <v>0</v>
      </c>
      <c r="I9" s="330">
        <v>0</v>
      </c>
      <c r="J9" s="331"/>
      <c r="K9" s="78">
        <v>0</v>
      </c>
      <c r="L9" s="3">
        <v>0</v>
      </c>
      <c r="M9" s="166">
        <v>0</v>
      </c>
      <c r="N9" s="3">
        <v>0</v>
      </c>
      <c r="O9" s="75">
        <v>0</v>
      </c>
      <c r="P9" s="167">
        <v>0</v>
      </c>
    </row>
    <row r="10" spans="1:16" ht="25.5" customHeight="1" thickBot="1">
      <c r="A10" s="2"/>
      <c r="B10" s="490" t="s">
        <v>13</v>
      </c>
      <c r="C10" s="491"/>
      <c r="D10" s="491"/>
      <c r="E10" s="492"/>
      <c r="F10" s="330">
        <v>43198.12</v>
      </c>
      <c r="G10" s="331"/>
      <c r="H10" s="3">
        <v>401820.07</v>
      </c>
      <c r="I10" s="330">
        <v>41076</v>
      </c>
      <c r="J10" s="331"/>
      <c r="K10" s="78">
        <v>0</v>
      </c>
      <c r="L10" s="3">
        <v>83835.8</v>
      </c>
      <c r="M10" s="166">
        <v>0</v>
      </c>
      <c r="N10" s="3">
        <v>0</v>
      </c>
      <c r="O10" s="3">
        <v>15080.3</v>
      </c>
      <c r="P10" s="167">
        <f>SUM(F10:O10)</f>
        <v>585010.29</v>
      </c>
    </row>
    <row r="11" spans="1:16" ht="15.75" thickBot="1">
      <c r="A11" s="170"/>
      <c r="B11" s="546"/>
      <c r="C11" s="547"/>
      <c r="D11" s="547"/>
      <c r="E11" s="547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9"/>
    </row>
    <row r="12" spans="1:16" ht="15">
      <c r="A12" s="446"/>
      <c r="B12" s="550" t="s">
        <v>14</v>
      </c>
      <c r="C12" s="551"/>
      <c r="D12" s="551"/>
      <c r="E12" s="552"/>
      <c r="F12" s="534"/>
      <c r="G12" s="556" t="s">
        <v>15</v>
      </c>
      <c r="H12" s="548"/>
      <c r="I12" s="548"/>
      <c r="J12" s="548"/>
      <c r="K12" s="549"/>
      <c r="L12" s="534" t="s">
        <v>16</v>
      </c>
      <c r="M12" s="534" t="s">
        <v>17</v>
      </c>
      <c r="N12" s="534" t="s">
        <v>18</v>
      </c>
      <c r="O12" s="534" t="s">
        <v>19</v>
      </c>
      <c r="P12" s="534" t="s">
        <v>20</v>
      </c>
    </row>
    <row r="13" spans="1:16" ht="15.75" thickBot="1">
      <c r="A13" s="447"/>
      <c r="B13" s="553"/>
      <c r="C13" s="554"/>
      <c r="D13" s="554"/>
      <c r="E13" s="555"/>
      <c r="F13" s="535"/>
      <c r="G13" s="557"/>
      <c r="H13" s="558"/>
      <c r="I13" s="558"/>
      <c r="J13" s="558"/>
      <c r="K13" s="559"/>
      <c r="L13" s="535"/>
      <c r="M13" s="535"/>
      <c r="N13" s="535"/>
      <c r="O13" s="535"/>
      <c r="P13" s="535"/>
    </row>
    <row r="14" spans="1:16" ht="24" customHeight="1" thickBot="1">
      <c r="A14" s="2"/>
      <c r="B14" s="536" t="s">
        <v>21</v>
      </c>
      <c r="C14" s="537"/>
      <c r="D14" s="538"/>
      <c r="E14" s="180" t="s">
        <v>22</v>
      </c>
      <c r="F14" s="181">
        <v>3</v>
      </c>
      <c r="G14" s="539">
        <v>4</v>
      </c>
      <c r="H14" s="529"/>
      <c r="I14" s="529"/>
      <c r="J14" s="531"/>
      <c r="K14" s="182">
        <v>5</v>
      </c>
      <c r="L14" s="183">
        <v>6</v>
      </c>
      <c r="M14" s="175">
        <v>7</v>
      </c>
      <c r="N14" s="183">
        <v>8</v>
      </c>
      <c r="O14" s="183">
        <v>9</v>
      </c>
      <c r="P14" s="175">
        <v>10</v>
      </c>
    </row>
    <row r="15" spans="1:16" ht="29.25" thickBot="1">
      <c r="A15" s="446"/>
      <c r="B15" s="540" t="s">
        <v>23</v>
      </c>
      <c r="C15" s="541"/>
      <c r="D15" s="542"/>
      <c r="E15" s="8" t="s">
        <v>24</v>
      </c>
      <c r="F15" s="8" t="s">
        <v>25</v>
      </c>
      <c r="G15" s="471" t="s">
        <v>26</v>
      </c>
      <c r="H15" s="472"/>
      <c r="I15" s="472"/>
      <c r="J15" s="473"/>
      <c r="K15" s="79" t="s">
        <v>27</v>
      </c>
      <c r="L15" s="9" t="s">
        <v>26</v>
      </c>
      <c r="M15" s="10" t="s">
        <v>28</v>
      </c>
      <c r="N15" s="10" t="s">
        <v>26</v>
      </c>
      <c r="O15" s="10" t="s">
        <v>26</v>
      </c>
      <c r="P15" s="11" t="s">
        <v>26</v>
      </c>
    </row>
    <row r="16" spans="1:16" ht="34.5" customHeight="1" thickBot="1">
      <c r="A16" s="447"/>
      <c r="B16" s="543"/>
      <c r="C16" s="544"/>
      <c r="D16" s="545"/>
      <c r="E16" s="109">
        <f>SUM(E17:E23)</f>
        <v>1348113</v>
      </c>
      <c r="F16" s="110">
        <f>SUM(F17:F23)</f>
        <v>6304553</v>
      </c>
      <c r="G16" s="474">
        <f>G17+G18+G19+G20+G21+G22+G23</f>
        <v>2113722.17</v>
      </c>
      <c r="H16" s="475"/>
      <c r="I16" s="475"/>
      <c r="J16" s="476"/>
      <c r="K16" s="168">
        <f>SUM(K17:K23)</f>
        <v>2113722.17</v>
      </c>
      <c r="L16" s="168">
        <f>SUM(L17:L23)</f>
        <v>6662590.65</v>
      </c>
      <c r="M16" s="168">
        <f>SUM(M17:M23)</f>
        <v>-765609.1699999999</v>
      </c>
      <c r="N16" s="168">
        <f>SUM(N17:N23)</f>
        <v>-358037.64999999997</v>
      </c>
      <c r="O16" s="12">
        <v>0</v>
      </c>
      <c r="P16" s="12">
        <v>0</v>
      </c>
    </row>
    <row r="17" spans="1:18" ht="66" customHeight="1" thickBot="1">
      <c r="A17" s="184" t="s">
        <v>195</v>
      </c>
      <c r="B17" s="497" t="s">
        <v>146</v>
      </c>
      <c r="C17" s="498"/>
      <c r="D17" s="499"/>
      <c r="E17" s="108">
        <v>700789</v>
      </c>
      <c r="F17" s="108">
        <f>3012967+E17</f>
        <v>3713756</v>
      </c>
      <c r="G17" s="450">
        <v>1164405.15</v>
      </c>
      <c r="H17" s="451"/>
      <c r="I17" s="451"/>
      <c r="J17" s="452"/>
      <c r="K17" s="169">
        <f aca="true" t="shared" si="0" ref="K17:K22">G17</f>
        <v>1164405.15</v>
      </c>
      <c r="L17" s="15">
        <f>2150581.98+K17</f>
        <v>3314987.13</v>
      </c>
      <c r="M17" s="119">
        <f>E17-K17</f>
        <v>-463616.1499999999</v>
      </c>
      <c r="N17" s="124">
        <f>F17-L17</f>
        <v>398768.8700000001</v>
      </c>
      <c r="O17" s="16">
        <v>0</v>
      </c>
      <c r="P17" s="16">
        <v>0</v>
      </c>
      <c r="Q17" s="173"/>
      <c r="R17" s="18">
        <v>365352.1499999948</v>
      </c>
    </row>
    <row r="18" spans="1:18" ht="41.25" customHeight="1" thickBot="1">
      <c r="A18" s="185" t="s">
        <v>196</v>
      </c>
      <c r="B18" s="566" t="s">
        <v>216</v>
      </c>
      <c r="C18" s="567"/>
      <c r="D18" s="568"/>
      <c r="E18" s="104">
        <v>637524</v>
      </c>
      <c r="F18" s="108">
        <f>1912573+E18</f>
        <v>2550097</v>
      </c>
      <c r="G18" s="450">
        <v>757380</v>
      </c>
      <c r="H18" s="451"/>
      <c r="I18" s="451"/>
      <c r="J18" s="452"/>
      <c r="K18" s="169">
        <f t="shared" si="0"/>
        <v>757380</v>
      </c>
      <c r="L18" s="15">
        <f>1836072+K18</f>
        <v>2593452</v>
      </c>
      <c r="M18" s="119">
        <f>E18-K18</f>
        <v>-119856</v>
      </c>
      <c r="N18" s="124">
        <f aca="true" t="shared" si="1" ref="M18:N23">F18-L18</f>
        <v>-43355</v>
      </c>
      <c r="O18" s="16">
        <v>0</v>
      </c>
      <c r="P18" s="16">
        <v>0</v>
      </c>
      <c r="Q18" s="173"/>
      <c r="R18" s="173"/>
    </row>
    <row r="19" spans="1:18" ht="42.75" customHeight="1" thickBot="1">
      <c r="A19" s="185" t="s">
        <v>197</v>
      </c>
      <c r="B19" s="569" t="s">
        <v>149</v>
      </c>
      <c r="C19" s="570"/>
      <c r="D19" s="571"/>
      <c r="E19" s="186"/>
      <c r="F19" s="108">
        <f>0+E19</f>
        <v>0</v>
      </c>
      <c r="G19" s="450"/>
      <c r="H19" s="451"/>
      <c r="I19" s="451"/>
      <c r="J19" s="452"/>
      <c r="K19" s="169">
        <f t="shared" si="0"/>
        <v>0</v>
      </c>
      <c r="L19" s="15">
        <f>117320+K19</f>
        <v>117320</v>
      </c>
      <c r="M19" s="119">
        <f t="shared" si="1"/>
        <v>0</v>
      </c>
      <c r="N19" s="124">
        <f t="shared" si="1"/>
        <v>-117320</v>
      </c>
      <c r="O19" s="16">
        <v>0</v>
      </c>
      <c r="P19" s="17">
        <v>0</v>
      </c>
      <c r="Q19" s="173"/>
      <c r="R19" s="173"/>
    </row>
    <row r="20" spans="1:18" ht="61.5" customHeight="1" thickBot="1">
      <c r="A20" s="187" t="s">
        <v>198</v>
      </c>
      <c r="B20" s="560" t="s">
        <v>147</v>
      </c>
      <c r="C20" s="561"/>
      <c r="D20" s="562"/>
      <c r="E20" s="188"/>
      <c r="F20" s="108">
        <f>0+E20</f>
        <v>0</v>
      </c>
      <c r="G20" s="450"/>
      <c r="H20" s="451"/>
      <c r="I20" s="451"/>
      <c r="J20" s="452"/>
      <c r="K20" s="169">
        <f t="shared" si="0"/>
        <v>0</v>
      </c>
      <c r="L20" s="15">
        <f>0+K20</f>
        <v>0</v>
      </c>
      <c r="M20" s="119">
        <f t="shared" si="1"/>
        <v>0</v>
      </c>
      <c r="N20" s="124">
        <f t="shared" si="1"/>
        <v>0</v>
      </c>
      <c r="O20" s="16">
        <v>0</v>
      </c>
      <c r="P20" s="16">
        <v>0</v>
      </c>
      <c r="Q20" s="18"/>
      <c r="R20" s="18"/>
    </row>
    <row r="21" spans="1:18" ht="36.75" customHeight="1" thickBot="1">
      <c r="A21" s="189" t="s">
        <v>199</v>
      </c>
      <c r="B21" s="563" t="s">
        <v>148</v>
      </c>
      <c r="C21" s="564"/>
      <c r="D21" s="565"/>
      <c r="E21" s="190"/>
      <c r="F21" s="108">
        <f>0+E21</f>
        <v>0</v>
      </c>
      <c r="G21" s="450"/>
      <c r="H21" s="451"/>
      <c r="I21" s="451"/>
      <c r="J21" s="452"/>
      <c r="K21" s="169">
        <f t="shared" si="0"/>
        <v>0</v>
      </c>
      <c r="L21" s="15">
        <f>0+K21</f>
        <v>0</v>
      </c>
      <c r="M21" s="119">
        <f t="shared" si="1"/>
        <v>0</v>
      </c>
      <c r="N21" s="124">
        <f t="shared" si="1"/>
        <v>0</v>
      </c>
      <c r="O21" s="16">
        <v>0</v>
      </c>
      <c r="P21" s="16">
        <v>0</v>
      </c>
      <c r="Q21" s="18"/>
      <c r="R21" s="173"/>
    </row>
    <row r="22" spans="1:18" ht="39.75" customHeight="1" thickBot="1">
      <c r="A22" s="189" t="s">
        <v>200</v>
      </c>
      <c r="B22" s="497" t="s">
        <v>201</v>
      </c>
      <c r="C22" s="498"/>
      <c r="D22" s="499"/>
      <c r="E22" s="82">
        <v>9800</v>
      </c>
      <c r="F22" s="108">
        <f>30900+E22</f>
        <v>40700</v>
      </c>
      <c r="G22" s="450">
        <v>18556.86</v>
      </c>
      <c r="H22" s="451"/>
      <c r="I22" s="451"/>
      <c r="J22" s="452"/>
      <c r="K22" s="169">
        <f t="shared" si="0"/>
        <v>18556.86</v>
      </c>
      <c r="L22" s="15">
        <f>27069.97+K22</f>
        <v>45626.83</v>
      </c>
      <c r="M22" s="119">
        <f>E22-K22</f>
        <v>-8756.86</v>
      </c>
      <c r="N22" s="124">
        <f t="shared" si="1"/>
        <v>-4926.830000000002</v>
      </c>
      <c r="O22" s="16">
        <v>0</v>
      </c>
      <c r="P22" s="16">
        <v>0</v>
      </c>
      <c r="Q22" s="173"/>
      <c r="R22" s="173"/>
    </row>
    <row r="23" spans="1:18" ht="54" customHeight="1" thickBot="1">
      <c r="A23" s="189" t="s">
        <v>202</v>
      </c>
      <c r="B23" s="572" t="s">
        <v>140</v>
      </c>
      <c r="C23" s="573"/>
      <c r="D23" s="574"/>
      <c r="E23" s="14"/>
      <c r="F23" s="108"/>
      <c r="G23" s="439">
        <v>173380.16</v>
      </c>
      <c r="H23" s="440"/>
      <c r="I23" s="440"/>
      <c r="J23" s="441"/>
      <c r="K23" s="169">
        <f>G23</f>
        <v>173380.16</v>
      </c>
      <c r="L23" s="15">
        <f>417824.53+K23</f>
        <v>591204.6900000001</v>
      </c>
      <c r="M23" s="119">
        <f t="shared" si="1"/>
        <v>-173380.16</v>
      </c>
      <c r="N23" s="124">
        <f t="shared" si="1"/>
        <v>-591204.6900000001</v>
      </c>
      <c r="O23" s="16">
        <v>0</v>
      </c>
      <c r="P23" s="16">
        <v>0</v>
      </c>
      <c r="Q23" s="173"/>
      <c r="R23" s="173"/>
    </row>
    <row r="24" spans="1:18" ht="18" customHeight="1">
      <c r="A24" s="446"/>
      <c r="B24" s="575" t="s">
        <v>30</v>
      </c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7"/>
      <c r="Q24" s="173"/>
      <c r="R24" s="173"/>
    </row>
    <row r="25" spans="1:18" ht="24.75" customHeight="1" thickBot="1">
      <c r="A25" s="447"/>
      <c r="B25" s="578"/>
      <c r="C25" s="579"/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579"/>
      <c r="P25" s="580"/>
      <c r="Q25" s="173"/>
      <c r="R25" s="173"/>
    </row>
    <row r="26" spans="1:18" ht="15.75" thickBot="1">
      <c r="A26" s="446"/>
      <c r="B26" s="550" t="s">
        <v>14</v>
      </c>
      <c r="C26" s="551"/>
      <c r="D26" s="552"/>
      <c r="E26" s="581" t="s">
        <v>24</v>
      </c>
      <c r="F26" s="583" t="s">
        <v>25</v>
      </c>
      <c r="G26" s="532" t="s">
        <v>31</v>
      </c>
      <c r="H26" s="522"/>
      <c r="I26" s="522"/>
      <c r="J26" s="522"/>
      <c r="K26" s="533"/>
      <c r="L26" s="534" t="s">
        <v>16</v>
      </c>
      <c r="M26" s="534" t="s">
        <v>17</v>
      </c>
      <c r="N26" s="534" t="s">
        <v>18</v>
      </c>
      <c r="O26" s="534" t="s">
        <v>19</v>
      </c>
      <c r="P26" s="534" t="s">
        <v>20</v>
      </c>
      <c r="Q26" s="173"/>
      <c r="R26" s="173"/>
    </row>
    <row r="27" spans="1:18" ht="58.5" customHeight="1" thickBot="1">
      <c r="A27" s="447"/>
      <c r="B27" s="553"/>
      <c r="C27" s="554"/>
      <c r="D27" s="555"/>
      <c r="E27" s="582"/>
      <c r="F27" s="584"/>
      <c r="G27" s="191" t="s">
        <v>32</v>
      </c>
      <c r="H27" s="191" t="s">
        <v>33</v>
      </c>
      <c r="I27" s="191" t="s">
        <v>34</v>
      </c>
      <c r="J27" s="175" t="s">
        <v>220</v>
      </c>
      <c r="K27" s="176" t="s">
        <v>27</v>
      </c>
      <c r="L27" s="535"/>
      <c r="M27" s="535"/>
      <c r="N27" s="535"/>
      <c r="O27" s="535"/>
      <c r="P27" s="535"/>
      <c r="Q27" s="173"/>
      <c r="R27" s="18">
        <v>365352.1499999948</v>
      </c>
    </row>
    <row r="28" spans="1:18" ht="13.5" customHeight="1" thickBot="1">
      <c r="A28" s="2"/>
      <c r="B28" s="536">
        <v>1</v>
      </c>
      <c r="C28" s="537"/>
      <c r="D28" s="538"/>
      <c r="E28" s="180" t="s">
        <v>22</v>
      </c>
      <c r="F28" s="191">
        <v>3</v>
      </c>
      <c r="G28" s="191">
        <v>4</v>
      </c>
      <c r="H28" s="191">
        <v>5</v>
      </c>
      <c r="I28" s="175">
        <v>6</v>
      </c>
      <c r="J28" s="175">
        <v>7</v>
      </c>
      <c r="K28" s="192">
        <v>8</v>
      </c>
      <c r="L28" s="183">
        <v>9</v>
      </c>
      <c r="M28" s="175">
        <v>10</v>
      </c>
      <c r="N28" s="183">
        <v>11</v>
      </c>
      <c r="O28" s="175">
        <v>12</v>
      </c>
      <c r="P28" s="183">
        <v>13</v>
      </c>
      <c r="Q28" s="173"/>
      <c r="R28" s="173"/>
    </row>
    <row r="29" spans="1:18" ht="18" customHeight="1" thickBot="1">
      <c r="A29" s="2"/>
      <c r="B29" s="539" t="s">
        <v>23</v>
      </c>
      <c r="C29" s="529"/>
      <c r="D29" s="531"/>
      <c r="E29" s="76">
        <f aca="true" t="shared" si="2" ref="E29:N29">E30+E34+E38+E44+E51+E54+E64+E67+E71+E74+E78+E80+E88+E101+E132+E135+E138+E141</f>
        <v>1348113</v>
      </c>
      <c r="F29" s="76">
        <f>F30+F34+F38+F44+F51+F54+F64+F67+F71+F74+F78+F80+F88+F101+F132+F135+F138+F141</f>
        <v>6304553</v>
      </c>
      <c r="G29" s="76">
        <f>G30+G34+G38+G44+G51+G54+G64+G67+G71+G74+G78+G80+G88+G101+G132+G135+G138+G141</f>
        <v>1173327.29</v>
      </c>
      <c r="H29" s="76">
        <f>H30+H34+H38+H44+H51+H54+H64+H67+H71+H74+H78+H80+H88+H101+H132+H135+H138+H141</f>
        <v>1200118.15</v>
      </c>
      <c r="I29" s="76">
        <f t="shared" si="2"/>
        <v>37677</v>
      </c>
      <c r="J29" s="76">
        <f t="shared" si="2"/>
        <v>142631.55</v>
      </c>
      <c r="K29" s="76">
        <f t="shared" si="2"/>
        <v>2553753.9899999998</v>
      </c>
      <c r="L29" s="76">
        <f t="shared" si="2"/>
        <v>6882964.33</v>
      </c>
      <c r="M29" s="76">
        <f t="shared" si="2"/>
        <v>-1205640.99</v>
      </c>
      <c r="N29" s="76">
        <f t="shared" si="2"/>
        <v>-578411.3299999997</v>
      </c>
      <c r="O29" s="21">
        <v>0</v>
      </c>
      <c r="P29" s="21">
        <v>0</v>
      </c>
      <c r="Q29" s="173"/>
      <c r="R29" s="18"/>
    </row>
    <row r="30" spans="1:18" ht="18.75" customHeight="1" thickBot="1">
      <c r="A30" s="22" t="s">
        <v>21</v>
      </c>
      <c r="B30" s="426" t="s">
        <v>36</v>
      </c>
      <c r="C30" s="338"/>
      <c r="D30" s="339"/>
      <c r="E30" s="111">
        <f>SUM(E31:E32)</f>
        <v>769724</v>
      </c>
      <c r="F30" s="81">
        <f>F31+F32+F33</f>
        <v>3078896</v>
      </c>
      <c r="G30" s="20">
        <f>G31+G32+G33</f>
        <v>523103.38</v>
      </c>
      <c r="H30" s="20">
        <f>H31</f>
        <v>851960.74</v>
      </c>
      <c r="I30" s="20"/>
      <c r="J30" s="20"/>
      <c r="K30" s="81">
        <f>G30+H30</f>
        <v>1375064.12</v>
      </c>
      <c r="L30" s="23">
        <f>L31+L32</f>
        <v>3096752.17</v>
      </c>
      <c r="M30" s="120">
        <f>E30-K30</f>
        <v>-605340.1200000001</v>
      </c>
      <c r="N30" s="122">
        <f>F30-L30</f>
        <v>-17856.169999999925</v>
      </c>
      <c r="O30" s="26">
        <v>0</v>
      </c>
      <c r="P30" s="27">
        <v>0</v>
      </c>
      <c r="Q30" s="18"/>
      <c r="R30" s="18"/>
    </row>
    <row r="31" spans="1:18" ht="15.75" thickBot="1">
      <c r="A31" s="29" t="s">
        <v>150</v>
      </c>
      <c r="B31" s="430" t="s">
        <v>151</v>
      </c>
      <c r="C31" s="431"/>
      <c r="D31" s="432"/>
      <c r="E31" s="112">
        <v>519779</v>
      </c>
      <c r="F31" s="108">
        <f>1559337+E31</f>
        <v>2079116</v>
      </c>
      <c r="G31" s="33"/>
      <c r="H31" s="33">
        <v>851960.74</v>
      </c>
      <c r="I31" s="33"/>
      <c r="J31" s="33"/>
      <c r="K31" s="82">
        <f>H31</f>
        <v>851960.74</v>
      </c>
      <c r="L31" s="15">
        <f>1224262.51+K31</f>
        <v>2076223.25</v>
      </c>
      <c r="M31" s="119">
        <f>E31-K31</f>
        <v>-332181.74</v>
      </c>
      <c r="N31" s="121">
        <f>F31-L31</f>
        <v>2892.75</v>
      </c>
      <c r="O31" s="31">
        <v>0</v>
      </c>
      <c r="P31" s="123">
        <v>0</v>
      </c>
      <c r="Q31" s="18"/>
      <c r="R31" s="18"/>
    </row>
    <row r="32" spans="1:18" ht="15.75" thickBot="1">
      <c r="A32" s="29" t="s">
        <v>153</v>
      </c>
      <c r="B32" s="340" t="s">
        <v>152</v>
      </c>
      <c r="C32" s="341"/>
      <c r="D32" s="342"/>
      <c r="E32" s="112">
        <v>249945</v>
      </c>
      <c r="F32" s="108">
        <f>749835+E32</f>
        <v>999780</v>
      </c>
      <c r="G32" s="33">
        <v>523103.38</v>
      </c>
      <c r="H32" s="33"/>
      <c r="I32" s="33"/>
      <c r="J32" s="33"/>
      <c r="K32" s="15">
        <f>0+G32</f>
        <v>523103.38</v>
      </c>
      <c r="L32" s="15">
        <f>497425.54+K32</f>
        <v>1020528.9199999999</v>
      </c>
      <c r="M32" s="119">
        <f>E32-K32</f>
        <v>-273158.38</v>
      </c>
      <c r="N32" s="121">
        <f>F32-L32</f>
        <v>-20748.919999999925</v>
      </c>
      <c r="O32" s="31">
        <v>0</v>
      </c>
      <c r="P32" s="123">
        <v>0</v>
      </c>
      <c r="Q32" s="18"/>
      <c r="R32" s="18"/>
    </row>
    <row r="33" spans="1:18" ht="15.75" thickBot="1">
      <c r="A33" s="29" t="s">
        <v>155</v>
      </c>
      <c r="B33" s="340" t="s">
        <v>154</v>
      </c>
      <c r="C33" s="341"/>
      <c r="D33" s="342"/>
      <c r="E33" s="95"/>
      <c r="F33" s="15"/>
      <c r="G33" s="33"/>
      <c r="H33" s="33"/>
      <c r="I33" s="33"/>
      <c r="J33" s="33"/>
      <c r="K33" s="82"/>
      <c r="L33" s="15"/>
      <c r="M33" s="193"/>
      <c r="N33" s="194"/>
      <c r="O33" s="31"/>
      <c r="P33" s="123"/>
      <c r="Q33" s="18"/>
      <c r="R33" s="18"/>
    </row>
    <row r="34" spans="1:18" ht="18.75" customHeight="1" thickBot="1">
      <c r="A34" s="128" t="s">
        <v>22</v>
      </c>
      <c r="B34" s="395" t="s">
        <v>37</v>
      </c>
      <c r="C34" s="396"/>
      <c r="D34" s="397"/>
      <c r="E34" s="81">
        <f>SUM(E35:E37)</f>
        <v>155484</v>
      </c>
      <c r="F34" s="81">
        <f>F35+F36+F37</f>
        <v>621936</v>
      </c>
      <c r="G34" s="20">
        <f>G35+G36+G37</f>
        <v>132032.37</v>
      </c>
      <c r="H34" s="20">
        <f>H35</f>
        <v>195151.41</v>
      </c>
      <c r="I34" s="20"/>
      <c r="J34" s="20"/>
      <c r="K34" s="81">
        <f>G34+H34</f>
        <v>327183.78</v>
      </c>
      <c r="L34" s="23">
        <f>L35+L36</f>
        <v>622486.99</v>
      </c>
      <c r="M34" s="120">
        <f aca="true" t="shared" si="3" ref="M34:N36">E34-K34</f>
        <v>-171699.78000000003</v>
      </c>
      <c r="N34" s="125">
        <f t="shared" si="3"/>
        <v>-550.9899999999907</v>
      </c>
      <c r="O34" s="26">
        <v>0</v>
      </c>
      <c r="P34" s="27">
        <v>0</v>
      </c>
      <c r="Q34" s="173"/>
      <c r="R34" s="173"/>
    </row>
    <row r="35" spans="1:18" ht="15.75" thickBot="1">
      <c r="A35" s="29" t="s">
        <v>156</v>
      </c>
      <c r="B35" s="430" t="s">
        <v>151</v>
      </c>
      <c r="C35" s="431"/>
      <c r="D35" s="432"/>
      <c r="E35" s="82">
        <v>104995</v>
      </c>
      <c r="F35" s="108">
        <f>314985+E35</f>
        <v>419980</v>
      </c>
      <c r="G35" s="33"/>
      <c r="H35" s="33">
        <v>195151.41</v>
      </c>
      <c r="I35" s="33"/>
      <c r="J35" s="33"/>
      <c r="K35" s="82">
        <f>H35</f>
        <v>195151.41</v>
      </c>
      <c r="L35" s="15">
        <f>209989.42+K35</f>
        <v>405140.83</v>
      </c>
      <c r="M35" s="119">
        <f t="shared" si="3"/>
        <v>-90156.41</v>
      </c>
      <c r="N35" s="121">
        <f t="shared" si="3"/>
        <v>14839.169999999984</v>
      </c>
      <c r="O35" s="31">
        <v>0</v>
      </c>
      <c r="P35" s="123">
        <v>0</v>
      </c>
      <c r="Q35" s="173"/>
      <c r="R35" s="173"/>
    </row>
    <row r="36" spans="1:18" ht="15.75" thickBot="1">
      <c r="A36" s="29" t="s">
        <v>157</v>
      </c>
      <c r="B36" s="340" t="s">
        <v>152</v>
      </c>
      <c r="C36" s="341"/>
      <c r="D36" s="342"/>
      <c r="E36" s="82">
        <v>50489</v>
      </c>
      <c r="F36" s="108">
        <f>151467+E36</f>
        <v>201956</v>
      </c>
      <c r="G36" s="33">
        <v>132032.37</v>
      </c>
      <c r="H36" s="33"/>
      <c r="I36" s="33"/>
      <c r="J36" s="33"/>
      <c r="K36" s="82">
        <f>G36</f>
        <v>132032.37</v>
      </c>
      <c r="L36" s="15">
        <f>85313.79+K36</f>
        <v>217346.15999999997</v>
      </c>
      <c r="M36" s="119">
        <f t="shared" si="3"/>
        <v>-81543.37</v>
      </c>
      <c r="N36" s="121">
        <f t="shared" si="3"/>
        <v>-15390.159999999974</v>
      </c>
      <c r="O36" s="31">
        <v>0</v>
      </c>
      <c r="P36" s="123">
        <v>0</v>
      </c>
      <c r="Q36" s="173"/>
      <c r="R36" s="173"/>
    </row>
    <row r="37" spans="1:18" ht="15.75" thickBot="1">
      <c r="A37" s="29" t="s">
        <v>158</v>
      </c>
      <c r="B37" s="340" t="s">
        <v>154</v>
      </c>
      <c r="C37" s="341"/>
      <c r="D37" s="342"/>
      <c r="E37" s="82"/>
      <c r="F37" s="108"/>
      <c r="G37" s="33"/>
      <c r="H37" s="33"/>
      <c r="I37" s="33"/>
      <c r="J37" s="33"/>
      <c r="K37" s="82"/>
      <c r="L37" s="15"/>
      <c r="M37" s="193"/>
      <c r="N37" s="195"/>
      <c r="O37" s="31"/>
      <c r="P37" s="123"/>
      <c r="Q37" s="173"/>
      <c r="R37" s="173"/>
    </row>
    <row r="38" spans="1:18" ht="15.75" thickBot="1">
      <c r="A38" s="22" t="s">
        <v>38</v>
      </c>
      <c r="B38" s="395" t="s">
        <v>39</v>
      </c>
      <c r="C38" s="396"/>
      <c r="D38" s="397"/>
      <c r="E38" s="81">
        <f>SUM(E41:E43)</f>
        <v>4500</v>
      </c>
      <c r="F38" s="114">
        <f>F41+F42+F43</f>
        <v>21000</v>
      </c>
      <c r="G38" s="20">
        <f>G40</f>
        <v>4592.6</v>
      </c>
      <c r="H38" s="20"/>
      <c r="I38" s="20"/>
      <c r="J38" s="20"/>
      <c r="K38" s="23">
        <f>K39+K40</f>
        <v>4592.6</v>
      </c>
      <c r="L38" s="23">
        <f>12792.38+K38</f>
        <v>17384.98</v>
      </c>
      <c r="M38" s="120">
        <f>E38-K38</f>
        <v>-92.60000000000036</v>
      </c>
      <c r="N38" s="122">
        <f>F38-L38</f>
        <v>3615.0200000000004</v>
      </c>
      <c r="O38" s="26">
        <v>0</v>
      </c>
      <c r="P38" s="27">
        <v>0</v>
      </c>
      <c r="Q38" s="173"/>
      <c r="R38" s="173"/>
    </row>
    <row r="39" spans="1:18" ht="15.75" thickBot="1">
      <c r="A39" s="29" t="s">
        <v>159</v>
      </c>
      <c r="B39" s="430" t="s">
        <v>151</v>
      </c>
      <c r="C39" s="431"/>
      <c r="D39" s="432"/>
      <c r="E39" s="15"/>
      <c r="F39" s="108"/>
      <c r="G39" s="33"/>
      <c r="H39" s="33"/>
      <c r="I39" s="33"/>
      <c r="J39" s="33"/>
      <c r="K39" s="82"/>
      <c r="L39" s="15"/>
      <c r="M39" s="193"/>
      <c r="N39" s="195"/>
      <c r="O39" s="31"/>
      <c r="P39" s="123"/>
      <c r="Q39" s="173"/>
      <c r="R39" s="173"/>
    </row>
    <row r="40" spans="1:18" ht="15.75" thickBot="1">
      <c r="A40" s="29" t="s">
        <v>160</v>
      </c>
      <c r="B40" s="340" t="s">
        <v>152</v>
      </c>
      <c r="C40" s="341"/>
      <c r="D40" s="342"/>
      <c r="E40" s="82">
        <v>4500</v>
      </c>
      <c r="F40" s="108">
        <f>16500+E40</f>
        <v>21000</v>
      </c>
      <c r="G40" s="33">
        <f>G41+G42</f>
        <v>4592.6</v>
      </c>
      <c r="H40" s="33"/>
      <c r="I40" s="33"/>
      <c r="J40" s="33"/>
      <c r="K40" s="15">
        <f>0+G40</f>
        <v>4592.6</v>
      </c>
      <c r="L40" s="15">
        <f>L41+L42+L43</f>
        <v>17384.98</v>
      </c>
      <c r="M40" s="119">
        <f aca="true" t="shared" si="4" ref="M40:N55">E40-K40</f>
        <v>-92.60000000000036</v>
      </c>
      <c r="N40" s="121">
        <f t="shared" si="4"/>
        <v>3615.0200000000004</v>
      </c>
      <c r="O40" s="31">
        <v>0</v>
      </c>
      <c r="P40" s="123">
        <v>0</v>
      </c>
      <c r="Q40" s="173"/>
      <c r="R40" s="173"/>
    </row>
    <row r="41" spans="1:18" ht="15.75" thickBot="1">
      <c r="A41" s="29" t="s">
        <v>40</v>
      </c>
      <c r="B41" s="427" t="s">
        <v>41</v>
      </c>
      <c r="C41" s="428"/>
      <c r="D41" s="429"/>
      <c r="E41" s="108">
        <v>2281</v>
      </c>
      <c r="F41" s="108">
        <f>6843+E41</f>
        <v>9124</v>
      </c>
      <c r="G41" s="33">
        <v>2373.6</v>
      </c>
      <c r="H41" s="33"/>
      <c r="I41" s="33"/>
      <c r="J41" s="33"/>
      <c r="K41" s="15">
        <f>0+G41</f>
        <v>2373.6</v>
      </c>
      <c r="L41" s="15">
        <f>6135.38+K41</f>
        <v>8508.98</v>
      </c>
      <c r="M41" s="119">
        <f t="shared" si="4"/>
        <v>-92.59999999999991</v>
      </c>
      <c r="N41" s="121">
        <f t="shared" si="4"/>
        <v>615.0200000000004</v>
      </c>
      <c r="O41" s="31">
        <v>0</v>
      </c>
      <c r="P41" s="123">
        <v>0</v>
      </c>
      <c r="Q41" s="173"/>
      <c r="R41" s="173"/>
    </row>
    <row r="42" spans="1:18" ht="15.75" thickBot="1">
      <c r="A42" s="29" t="s">
        <v>42</v>
      </c>
      <c r="B42" s="427" t="s">
        <v>43</v>
      </c>
      <c r="C42" s="428"/>
      <c r="D42" s="429"/>
      <c r="E42" s="108">
        <v>2219</v>
      </c>
      <c r="F42" s="108">
        <f>6657+E42</f>
        <v>8876</v>
      </c>
      <c r="G42" s="33">
        <v>2219</v>
      </c>
      <c r="H42" s="33"/>
      <c r="I42" s="33"/>
      <c r="J42" s="33"/>
      <c r="K42" s="15">
        <f>0+G42</f>
        <v>2219</v>
      </c>
      <c r="L42" s="15">
        <f>6657+K42</f>
        <v>8876</v>
      </c>
      <c r="M42" s="119">
        <f t="shared" si="4"/>
        <v>0</v>
      </c>
      <c r="N42" s="121">
        <f t="shared" si="4"/>
        <v>0</v>
      </c>
      <c r="O42" s="31">
        <v>0</v>
      </c>
      <c r="P42" s="123">
        <v>0</v>
      </c>
      <c r="Q42" s="173"/>
      <c r="R42" s="173"/>
    </row>
    <row r="43" spans="1:18" ht="15.75" thickBot="1">
      <c r="A43" s="29" t="s">
        <v>44</v>
      </c>
      <c r="B43" s="427" t="s">
        <v>45</v>
      </c>
      <c r="C43" s="428"/>
      <c r="D43" s="429"/>
      <c r="E43" s="108"/>
      <c r="F43" s="108">
        <f>3000+E43</f>
        <v>3000</v>
      </c>
      <c r="G43" s="13"/>
      <c r="H43" s="13"/>
      <c r="I43" s="13"/>
      <c r="J43" s="33"/>
      <c r="K43" s="15">
        <f>0+J43</f>
        <v>0</v>
      </c>
      <c r="L43" s="15">
        <f>0+K43</f>
        <v>0</v>
      </c>
      <c r="M43" s="119">
        <f t="shared" si="4"/>
        <v>0</v>
      </c>
      <c r="N43" s="121">
        <f t="shared" si="4"/>
        <v>3000</v>
      </c>
      <c r="O43" s="31">
        <v>0</v>
      </c>
      <c r="P43" s="123">
        <v>0</v>
      </c>
      <c r="Q43" s="173"/>
      <c r="R43" s="18"/>
    </row>
    <row r="44" spans="1:18" ht="20.25" customHeight="1" thickBot="1">
      <c r="A44" s="22" t="s">
        <v>46</v>
      </c>
      <c r="B44" s="395" t="s">
        <v>47</v>
      </c>
      <c r="C44" s="396"/>
      <c r="D44" s="397"/>
      <c r="E44" s="81">
        <f>SUM(E47:E49)</f>
        <v>210000</v>
      </c>
      <c r="F44" s="114">
        <f>605200+E44</f>
        <v>815200</v>
      </c>
      <c r="G44" s="23">
        <f>G45+G46+G47</f>
        <v>154314.5</v>
      </c>
      <c r="H44" s="32"/>
      <c r="I44" s="32"/>
      <c r="J44" s="20"/>
      <c r="K44" s="23">
        <f>K45+K46+K47</f>
        <v>154314.5</v>
      </c>
      <c r="L44" s="23">
        <f>584020.5+K44</f>
        <v>738335</v>
      </c>
      <c r="M44" s="120">
        <f t="shared" si="4"/>
        <v>55685.5</v>
      </c>
      <c r="N44" s="122">
        <f t="shared" si="4"/>
        <v>76865</v>
      </c>
      <c r="O44" s="26">
        <v>0</v>
      </c>
      <c r="P44" s="27">
        <v>0</v>
      </c>
      <c r="Q44" s="173"/>
      <c r="R44" s="173"/>
    </row>
    <row r="45" spans="1:18" ht="15.75" thickBot="1">
      <c r="A45" s="29" t="s">
        <v>161</v>
      </c>
      <c r="B45" s="340" t="s">
        <v>152</v>
      </c>
      <c r="C45" s="341"/>
      <c r="D45" s="342"/>
      <c r="E45" s="112">
        <f>E48+E49</f>
        <v>210000</v>
      </c>
      <c r="F45" s="108">
        <f>605200+E45</f>
        <v>815200</v>
      </c>
      <c r="G45" s="15">
        <f>G48+G49</f>
        <v>154314.5</v>
      </c>
      <c r="H45" s="13"/>
      <c r="I45" s="13"/>
      <c r="J45" s="33"/>
      <c r="K45" s="15">
        <f>0+G45</f>
        <v>154314.5</v>
      </c>
      <c r="L45" s="15">
        <f>L48+L49</f>
        <v>738335</v>
      </c>
      <c r="M45" s="119">
        <f t="shared" si="4"/>
        <v>55685.5</v>
      </c>
      <c r="N45" s="124">
        <f t="shared" si="4"/>
        <v>76865</v>
      </c>
      <c r="O45" s="31">
        <v>0</v>
      </c>
      <c r="P45" s="123">
        <v>0</v>
      </c>
      <c r="Q45" s="173"/>
      <c r="R45" s="173"/>
    </row>
    <row r="46" spans="1:18" ht="15.75" thickBot="1">
      <c r="A46" s="29" t="s">
        <v>162</v>
      </c>
      <c r="B46" s="430" t="s">
        <v>151</v>
      </c>
      <c r="C46" s="431"/>
      <c r="D46" s="432"/>
      <c r="E46" s="94"/>
      <c r="F46" s="108"/>
      <c r="G46" s="15"/>
      <c r="H46" s="13"/>
      <c r="I46" s="13"/>
      <c r="J46" s="33"/>
      <c r="K46" s="15">
        <f aca="true" t="shared" si="5" ref="K46:K53">0+G46</f>
        <v>0</v>
      </c>
      <c r="L46" s="15">
        <f aca="true" t="shared" si="6" ref="L46:L61">0+K46</f>
        <v>0</v>
      </c>
      <c r="M46" s="119">
        <f t="shared" si="4"/>
        <v>0</v>
      </c>
      <c r="N46" s="121">
        <f t="shared" si="4"/>
        <v>0</v>
      </c>
      <c r="O46" s="31">
        <v>0</v>
      </c>
      <c r="P46" s="123">
        <v>0</v>
      </c>
      <c r="Q46" s="173"/>
      <c r="R46" s="173"/>
    </row>
    <row r="47" spans="1:18" ht="15.75" thickBot="1">
      <c r="A47" s="29" t="s">
        <v>163</v>
      </c>
      <c r="B47" s="96" t="s">
        <v>154</v>
      </c>
      <c r="C47" s="97"/>
      <c r="D47" s="97"/>
      <c r="E47" s="126"/>
      <c r="F47" s="108"/>
      <c r="G47" s="15"/>
      <c r="H47" s="13"/>
      <c r="I47" s="13"/>
      <c r="J47" s="33"/>
      <c r="K47" s="15">
        <f t="shared" si="5"/>
        <v>0</v>
      </c>
      <c r="L47" s="15">
        <f t="shared" si="6"/>
        <v>0</v>
      </c>
      <c r="M47" s="119">
        <f t="shared" si="4"/>
        <v>0</v>
      </c>
      <c r="N47" s="121">
        <f t="shared" si="4"/>
        <v>0</v>
      </c>
      <c r="O47" s="31">
        <v>0</v>
      </c>
      <c r="P47" s="123">
        <v>0</v>
      </c>
      <c r="Q47" s="173"/>
      <c r="R47" s="196"/>
    </row>
    <row r="48" spans="1:18" ht="15.75" thickBot="1">
      <c r="A48" s="29" t="s">
        <v>48</v>
      </c>
      <c r="B48" s="359" t="s">
        <v>49</v>
      </c>
      <c r="C48" s="360"/>
      <c r="D48" s="361"/>
      <c r="E48" s="108">
        <v>210000</v>
      </c>
      <c r="F48" s="108">
        <f>580000+E48</f>
        <v>790000</v>
      </c>
      <c r="G48" s="13">
        <v>148937</v>
      </c>
      <c r="H48" s="13"/>
      <c r="I48" s="13"/>
      <c r="J48" s="33"/>
      <c r="K48" s="15">
        <f t="shared" si="5"/>
        <v>148937</v>
      </c>
      <c r="L48" s="15">
        <f>579751+K48</f>
        <v>728688</v>
      </c>
      <c r="M48" s="119">
        <f t="shared" si="4"/>
        <v>61063</v>
      </c>
      <c r="N48" s="121">
        <f t="shared" si="4"/>
        <v>61312</v>
      </c>
      <c r="O48" s="31">
        <v>0</v>
      </c>
      <c r="P48" s="123">
        <v>0</v>
      </c>
      <c r="Q48" s="173"/>
      <c r="R48" s="18"/>
    </row>
    <row r="49" spans="1:18" ht="15.75" thickBot="1">
      <c r="A49" s="29" t="s">
        <v>50</v>
      </c>
      <c r="B49" s="359" t="s">
        <v>51</v>
      </c>
      <c r="C49" s="360"/>
      <c r="D49" s="361"/>
      <c r="E49" s="108">
        <v>0</v>
      </c>
      <c r="F49" s="108">
        <f>25200+E49</f>
        <v>25200</v>
      </c>
      <c r="G49" s="13">
        <v>5377.5</v>
      </c>
      <c r="H49" s="13"/>
      <c r="I49" s="13"/>
      <c r="J49" s="33"/>
      <c r="K49" s="15">
        <f t="shared" si="5"/>
        <v>5377.5</v>
      </c>
      <c r="L49" s="15">
        <f>4269.5+K49</f>
        <v>9647</v>
      </c>
      <c r="M49" s="119">
        <f t="shared" si="4"/>
        <v>-5377.5</v>
      </c>
      <c r="N49" s="121">
        <f t="shared" si="4"/>
        <v>15553</v>
      </c>
      <c r="O49" s="31">
        <v>0</v>
      </c>
      <c r="P49" s="123">
        <v>0</v>
      </c>
      <c r="Q49" s="173"/>
      <c r="R49" s="173"/>
    </row>
    <row r="50" spans="1:18" ht="15.75" thickBot="1">
      <c r="A50" s="29" t="s">
        <v>52</v>
      </c>
      <c r="B50" s="359" t="s">
        <v>53</v>
      </c>
      <c r="C50" s="360"/>
      <c r="D50" s="361"/>
      <c r="E50" s="13">
        <v>0</v>
      </c>
      <c r="F50" s="108">
        <f>0+E50</f>
        <v>0</v>
      </c>
      <c r="G50" s="13"/>
      <c r="H50" s="13"/>
      <c r="I50" s="13"/>
      <c r="J50" s="33"/>
      <c r="K50" s="15">
        <f t="shared" si="5"/>
        <v>0</v>
      </c>
      <c r="L50" s="15">
        <f t="shared" si="6"/>
        <v>0</v>
      </c>
      <c r="M50" s="119">
        <f t="shared" si="4"/>
        <v>0</v>
      </c>
      <c r="N50" s="121">
        <f t="shared" si="4"/>
        <v>0</v>
      </c>
      <c r="O50" s="31">
        <v>0</v>
      </c>
      <c r="P50" s="123">
        <v>0</v>
      </c>
      <c r="Q50" s="173"/>
      <c r="R50" s="173"/>
    </row>
    <row r="51" spans="1:18" ht="15.75" thickBot="1">
      <c r="A51" s="22" t="s">
        <v>54</v>
      </c>
      <c r="B51" s="425" t="s">
        <v>55</v>
      </c>
      <c r="C51" s="323"/>
      <c r="D51" s="324"/>
      <c r="E51" s="23">
        <v>0</v>
      </c>
      <c r="F51" s="23">
        <v>0</v>
      </c>
      <c r="G51" s="23"/>
      <c r="H51" s="23"/>
      <c r="I51" s="23"/>
      <c r="J51" s="20"/>
      <c r="K51" s="23">
        <f t="shared" si="5"/>
        <v>0</v>
      </c>
      <c r="L51" s="23">
        <f t="shared" si="6"/>
        <v>0</v>
      </c>
      <c r="M51" s="120">
        <f t="shared" si="4"/>
        <v>0</v>
      </c>
      <c r="N51" s="122">
        <f t="shared" si="4"/>
        <v>0</v>
      </c>
      <c r="O51" s="26">
        <v>0</v>
      </c>
      <c r="P51" s="27">
        <v>0</v>
      </c>
      <c r="Q51" s="173"/>
      <c r="R51" s="173"/>
    </row>
    <row r="52" spans="1:18" ht="15.75" thickBot="1">
      <c r="A52" s="29" t="s">
        <v>164</v>
      </c>
      <c r="B52" s="340" t="s">
        <v>152</v>
      </c>
      <c r="C52" s="341"/>
      <c r="D52" s="342"/>
      <c r="E52" s="15"/>
      <c r="F52" s="15"/>
      <c r="G52" s="15"/>
      <c r="H52" s="15"/>
      <c r="I52" s="15"/>
      <c r="J52" s="33"/>
      <c r="K52" s="15">
        <f t="shared" si="5"/>
        <v>0</v>
      </c>
      <c r="L52" s="15">
        <f t="shared" si="6"/>
        <v>0</v>
      </c>
      <c r="M52" s="119">
        <f t="shared" si="4"/>
        <v>0</v>
      </c>
      <c r="N52" s="121">
        <f t="shared" si="4"/>
        <v>0</v>
      </c>
      <c r="O52" s="31">
        <v>0</v>
      </c>
      <c r="P52" s="123">
        <v>0</v>
      </c>
      <c r="Q52" s="173"/>
      <c r="R52" s="173"/>
    </row>
    <row r="53" spans="1:18" ht="15.75" thickBot="1">
      <c r="A53" s="29" t="s">
        <v>165</v>
      </c>
      <c r="B53" s="96" t="s">
        <v>154</v>
      </c>
      <c r="C53" s="97"/>
      <c r="D53" s="97"/>
      <c r="E53" s="15"/>
      <c r="F53" s="15"/>
      <c r="G53" s="15"/>
      <c r="H53" s="15"/>
      <c r="I53" s="15"/>
      <c r="J53" s="33"/>
      <c r="K53" s="15">
        <f t="shared" si="5"/>
        <v>0</v>
      </c>
      <c r="L53" s="15">
        <f t="shared" si="6"/>
        <v>0</v>
      </c>
      <c r="M53" s="119">
        <f t="shared" si="4"/>
        <v>0</v>
      </c>
      <c r="N53" s="121">
        <f t="shared" si="4"/>
        <v>0</v>
      </c>
      <c r="O53" s="31">
        <v>0</v>
      </c>
      <c r="P53" s="123">
        <v>0</v>
      </c>
      <c r="Q53" s="173"/>
      <c r="R53" s="173"/>
    </row>
    <row r="54" spans="1:18" ht="32.25" customHeight="1" thickBot="1">
      <c r="A54" s="22" t="s">
        <v>56</v>
      </c>
      <c r="B54" s="395" t="s">
        <v>57</v>
      </c>
      <c r="C54" s="396"/>
      <c r="D54" s="397"/>
      <c r="E54" s="81">
        <f>SUM(E59:E63)</f>
        <v>160600</v>
      </c>
      <c r="F54" s="114">
        <f>F55+F58</f>
        <v>988100</v>
      </c>
      <c r="G54" s="23">
        <f>G55+G56+G57+G58</f>
        <v>180022.37</v>
      </c>
      <c r="H54" s="23"/>
      <c r="I54" s="23"/>
      <c r="J54" s="23">
        <f>J55+J56+J57+J58</f>
        <v>0</v>
      </c>
      <c r="K54" s="23">
        <f>K55+K56+K57</f>
        <v>180022.37</v>
      </c>
      <c r="L54" s="23">
        <f>L55+L56+L57+L58</f>
        <v>1074668.1199999999</v>
      </c>
      <c r="M54" s="120">
        <f t="shared" si="4"/>
        <v>-19422.369999999995</v>
      </c>
      <c r="N54" s="125">
        <f t="shared" si="4"/>
        <v>-86568.11999999988</v>
      </c>
      <c r="O54" s="26">
        <v>0</v>
      </c>
      <c r="P54" s="27">
        <v>0</v>
      </c>
      <c r="Q54" s="173"/>
      <c r="R54" s="18">
        <f>F59+F60+F62+F63-F58</f>
        <v>947400</v>
      </c>
    </row>
    <row r="55" spans="1:18" ht="15.75" thickBot="1">
      <c r="A55" s="29" t="s">
        <v>166</v>
      </c>
      <c r="B55" s="390" t="s">
        <v>152</v>
      </c>
      <c r="C55" s="391"/>
      <c r="D55" s="392"/>
      <c r="E55" s="113">
        <f>E59+E60+E62+E63-E58</f>
        <v>150800</v>
      </c>
      <c r="F55" s="108">
        <f>796600+E55</f>
        <v>947400</v>
      </c>
      <c r="G55" s="15">
        <f>G59+G60+G62+G63</f>
        <v>180022.37</v>
      </c>
      <c r="H55" s="15"/>
      <c r="I55" s="15"/>
      <c r="J55" s="15"/>
      <c r="K55" s="15">
        <f>0+G55</f>
        <v>180022.37</v>
      </c>
      <c r="L55" s="15">
        <f>847663.96+K55</f>
        <v>1027686.33</v>
      </c>
      <c r="M55" s="119">
        <f t="shared" si="4"/>
        <v>-29222.369999999995</v>
      </c>
      <c r="N55" s="121">
        <f t="shared" si="4"/>
        <v>-80286.32999999996</v>
      </c>
      <c r="O55" s="31">
        <v>0</v>
      </c>
      <c r="P55" s="123">
        <v>0</v>
      </c>
      <c r="Q55" s="173"/>
      <c r="R55" s="18"/>
    </row>
    <row r="56" spans="1:18" ht="15.75" thickBot="1">
      <c r="A56" s="29" t="s">
        <v>167</v>
      </c>
      <c r="B56" s="430" t="s">
        <v>168</v>
      </c>
      <c r="C56" s="431"/>
      <c r="D56" s="432"/>
      <c r="E56" s="112"/>
      <c r="F56" s="108"/>
      <c r="G56" s="15"/>
      <c r="H56" s="15"/>
      <c r="I56" s="15"/>
      <c r="J56" s="15"/>
      <c r="K56" s="15">
        <f aca="true" t="shared" si="7" ref="K56:K61">0+G56</f>
        <v>0</v>
      </c>
      <c r="L56" s="15">
        <f t="shared" si="6"/>
        <v>0</v>
      </c>
      <c r="M56" s="119">
        <f aca="true" t="shared" si="8" ref="M56:N71">E56-K56</f>
        <v>0</v>
      </c>
      <c r="N56" s="121">
        <f t="shared" si="8"/>
        <v>0</v>
      </c>
      <c r="O56" s="31">
        <v>0</v>
      </c>
      <c r="P56" s="123">
        <v>0</v>
      </c>
      <c r="Q56" s="173"/>
      <c r="R56" s="18"/>
    </row>
    <row r="57" spans="1:18" ht="15.75" thickBot="1">
      <c r="A57" s="29" t="s">
        <v>203</v>
      </c>
      <c r="B57" s="503" t="s">
        <v>154</v>
      </c>
      <c r="C57" s="504"/>
      <c r="D57" s="504"/>
      <c r="E57" s="127"/>
      <c r="F57" s="108"/>
      <c r="G57" s="15"/>
      <c r="H57" s="15"/>
      <c r="I57" s="15"/>
      <c r="J57" s="15"/>
      <c r="K57" s="15">
        <f t="shared" si="7"/>
        <v>0</v>
      </c>
      <c r="L57" s="15">
        <f t="shared" si="6"/>
        <v>0</v>
      </c>
      <c r="M57" s="119">
        <f t="shared" si="8"/>
        <v>0</v>
      </c>
      <c r="N57" s="121">
        <f t="shared" si="8"/>
        <v>0</v>
      </c>
      <c r="O57" s="31">
        <v>0</v>
      </c>
      <c r="P57" s="123">
        <v>0</v>
      </c>
      <c r="Q57" s="173"/>
      <c r="R57" s="18"/>
    </row>
    <row r="58" spans="1:18" ht="15.75" thickBot="1">
      <c r="A58" s="29" t="s">
        <v>204</v>
      </c>
      <c r="B58" s="497" t="s">
        <v>201</v>
      </c>
      <c r="C58" s="498"/>
      <c r="D58" s="499"/>
      <c r="E58" s="112">
        <v>9800</v>
      </c>
      <c r="F58" s="108">
        <f>30900+E58</f>
        <v>40700</v>
      </c>
      <c r="G58" s="15"/>
      <c r="H58" s="15"/>
      <c r="I58" s="15"/>
      <c r="J58" s="15">
        <f>J62+J63+J59</f>
        <v>0</v>
      </c>
      <c r="K58" s="15">
        <f>0+J58</f>
        <v>0</v>
      </c>
      <c r="L58" s="15">
        <f>46981.79+K58</f>
        <v>46981.79</v>
      </c>
      <c r="M58" s="119">
        <f t="shared" si="8"/>
        <v>9800</v>
      </c>
      <c r="N58" s="121">
        <f t="shared" si="8"/>
        <v>-6281.790000000001</v>
      </c>
      <c r="O58" s="31">
        <v>0</v>
      </c>
      <c r="P58" s="123">
        <v>0</v>
      </c>
      <c r="Q58" s="173"/>
      <c r="R58" s="18"/>
    </row>
    <row r="59" spans="1:18" ht="15.75" thickBot="1">
      <c r="A59" s="29" t="s">
        <v>58</v>
      </c>
      <c r="B59" s="419" t="s">
        <v>59</v>
      </c>
      <c r="C59" s="420"/>
      <c r="D59" s="421"/>
      <c r="E59" s="108">
        <v>50000</v>
      </c>
      <c r="F59" s="108">
        <f>175000+E59</f>
        <v>225000</v>
      </c>
      <c r="G59" s="13"/>
      <c r="H59" s="13"/>
      <c r="I59" s="13"/>
      <c r="J59" s="15"/>
      <c r="K59" s="15">
        <f>J59+G59</f>
        <v>0</v>
      </c>
      <c r="L59" s="15">
        <f>232676.25+K59</f>
        <v>232676.25</v>
      </c>
      <c r="M59" s="119">
        <f t="shared" si="8"/>
        <v>50000</v>
      </c>
      <c r="N59" s="121">
        <f t="shared" si="8"/>
        <v>-7676.25</v>
      </c>
      <c r="O59" s="31">
        <v>0</v>
      </c>
      <c r="P59" s="123">
        <v>0</v>
      </c>
      <c r="Q59" s="173"/>
      <c r="R59" s="196"/>
    </row>
    <row r="60" spans="1:18" ht="15.75" thickBot="1">
      <c r="A60" s="29" t="s">
        <v>60</v>
      </c>
      <c r="B60" s="387" t="s">
        <v>61</v>
      </c>
      <c r="C60" s="388"/>
      <c r="D60" s="388"/>
      <c r="E60" s="108">
        <v>100000</v>
      </c>
      <c r="F60" s="108">
        <f>627000+E60</f>
        <v>727000</v>
      </c>
      <c r="G60" s="13">
        <v>173796.32</v>
      </c>
      <c r="H60" s="13"/>
      <c r="I60" s="13"/>
      <c r="J60" s="15"/>
      <c r="K60" s="15">
        <f t="shared" si="7"/>
        <v>173796.32</v>
      </c>
      <c r="L60" s="15">
        <f>635794.65+K60</f>
        <v>809590.97</v>
      </c>
      <c r="M60" s="119">
        <f t="shared" si="8"/>
        <v>-73796.32</v>
      </c>
      <c r="N60" s="121">
        <f t="shared" si="8"/>
        <v>-82590.96999999997</v>
      </c>
      <c r="O60" s="31">
        <v>0</v>
      </c>
      <c r="P60" s="123">
        <v>0</v>
      </c>
      <c r="Q60" s="173"/>
      <c r="R60" s="18"/>
    </row>
    <row r="61" spans="1:18" ht="15.75" thickBot="1">
      <c r="A61" s="29" t="s">
        <v>60</v>
      </c>
      <c r="B61" s="422" t="s">
        <v>205</v>
      </c>
      <c r="C61" s="423"/>
      <c r="D61" s="424"/>
      <c r="E61" s="108"/>
      <c r="F61" s="108"/>
      <c r="G61" s="13"/>
      <c r="H61" s="13"/>
      <c r="I61" s="13"/>
      <c r="J61" s="15"/>
      <c r="K61" s="15">
        <f t="shared" si="7"/>
        <v>0</v>
      </c>
      <c r="L61" s="15">
        <f t="shared" si="6"/>
        <v>0</v>
      </c>
      <c r="M61" s="119">
        <f t="shared" si="8"/>
        <v>0</v>
      </c>
      <c r="N61" s="121">
        <f t="shared" si="8"/>
        <v>0</v>
      </c>
      <c r="O61" s="31">
        <v>0</v>
      </c>
      <c r="P61" s="123">
        <v>0</v>
      </c>
      <c r="Q61" s="173"/>
      <c r="R61" s="173"/>
    </row>
    <row r="62" spans="1:18" ht="15.75" thickBot="1">
      <c r="A62" s="29" t="s">
        <v>62</v>
      </c>
      <c r="B62" s="387" t="s">
        <v>63</v>
      </c>
      <c r="C62" s="388"/>
      <c r="D62" s="389"/>
      <c r="E62" s="108">
        <v>5600</v>
      </c>
      <c r="F62" s="108">
        <f>13500+E62</f>
        <v>19100</v>
      </c>
      <c r="G62" s="215">
        <v>3332.74</v>
      </c>
      <c r="H62" s="60"/>
      <c r="I62" s="13"/>
      <c r="J62" s="13"/>
      <c r="K62" s="15">
        <f>0+J62+G62</f>
        <v>3332.74</v>
      </c>
      <c r="L62" s="15">
        <f>14011.13+K62</f>
        <v>17343.87</v>
      </c>
      <c r="M62" s="119">
        <f t="shared" si="8"/>
        <v>2267.26</v>
      </c>
      <c r="N62" s="121">
        <f t="shared" si="8"/>
        <v>1756.130000000001</v>
      </c>
      <c r="O62" s="31">
        <v>0</v>
      </c>
      <c r="P62" s="123">
        <v>0</v>
      </c>
      <c r="Q62" s="173"/>
      <c r="R62" s="173"/>
    </row>
    <row r="63" spans="1:18" ht="15.75" thickBot="1">
      <c r="A63" s="29" t="s">
        <v>64</v>
      </c>
      <c r="B63" s="387" t="s">
        <v>65</v>
      </c>
      <c r="C63" s="388"/>
      <c r="D63" s="389"/>
      <c r="E63" s="108">
        <v>5000</v>
      </c>
      <c r="F63" s="108">
        <f>12000+E63</f>
        <v>17000</v>
      </c>
      <c r="G63" s="216">
        <v>2893.31</v>
      </c>
      <c r="H63" s="13"/>
      <c r="I63" s="13"/>
      <c r="J63" s="13"/>
      <c r="K63" s="15">
        <f>0+J63+G63</f>
        <v>2893.31</v>
      </c>
      <c r="L63" s="15">
        <f>12163.72+K63</f>
        <v>15057.029999999999</v>
      </c>
      <c r="M63" s="119">
        <f t="shared" si="8"/>
        <v>2106.69</v>
      </c>
      <c r="N63" s="121">
        <f t="shared" si="8"/>
        <v>1942.9700000000012</v>
      </c>
      <c r="O63" s="31">
        <v>0</v>
      </c>
      <c r="P63" s="123">
        <v>0</v>
      </c>
      <c r="Q63" s="173"/>
      <c r="R63" s="173"/>
    </row>
    <row r="64" spans="1:18" ht="30.75" customHeight="1" thickBot="1">
      <c r="A64" s="56" t="s">
        <v>66</v>
      </c>
      <c r="B64" s="585" t="s">
        <v>228</v>
      </c>
      <c r="C64" s="586"/>
      <c r="D64" s="587"/>
      <c r="E64" s="81">
        <f>E65</f>
        <v>0</v>
      </c>
      <c r="F64" s="114">
        <f>F65+F66</f>
        <v>277000</v>
      </c>
      <c r="G64" s="32">
        <f>G65+G66</f>
        <v>8190</v>
      </c>
      <c r="H64" s="23"/>
      <c r="I64" s="23">
        <f>I66</f>
        <v>16800</v>
      </c>
      <c r="J64" s="23">
        <f>J65+J66</f>
        <v>0</v>
      </c>
      <c r="K64" s="23">
        <f>K65+K66</f>
        <v>24990</v>
      </c>
      <c r="L64" s="23">
        <f>L65+L66</f>
        <v>42888</v>
      </c>
      <c r="M64" s="120">
        <f t="shared" si="8"/>
        <v>-24990</v>
      </c>
      <c r="N64" s="125">
        <f t="shared" si="8"/>
        <v>234112</v>
      </c>
      <c r="O64" s="26">
        <v>0</v>
      </c>
      <c r="P64" s="27">
        <v>0</v>
      </c>
      <c r="Q64" s="173"/>
      <c r="R64" s="173"/>
    </row>
    <row r="65" spans="1:18" ht="15.75" customHeight="1" thickBot="1">
      <c r="A65" s="29" t="s">
        <v>207</v>
      </c>
      <c r="B65" s="390" t="s">
        <v>152</v>
      </c>
      <c r="C65" s="391"/>
      <c r="D65" s="392"/>
      <c r="E65" s="82">
        <v>0</v>
      </c>
      <c r="F65" s="108">
        <f>277000+E65</f>
        <v>277000</v>
      </c>
      <c r="G65" s="13">
        <v>8190</v>
      </c>
      <c r="H65" s="15"/>
      <c r="I65" s="15"/>
      <c r="J65" s="15"/>
      <c r="K65" s="15">
        <f>0+G65</f>
        <v>8190</v>
      </c>
      <c r="L65" s="15">
        <f>17898+K65</f>
        <v>26088</v>
      </c>
      <c r="M65" s="119">
        <f t="shared" si="8"/>
        <v>-8190</v>
      </c>
      <c r="N65" s="124">
        <f t="shared" si="8"/>
        <v>250912</v>
      </c>
      <c r="O65" s="31">
        <v>0</v>
      </c>
      <c r="P65" s="123">
        <v>0</v>
      </c>
      <c r="Q65" s="173"/>
      <c r="R65" s="173"/>
    </row>
    <row r="66" spans="1:18" ht="27.75" customHeight="1" thickBot="1">
      <c r="A66" s="29" t="s">
        <v>208</v>
      </c>
      <c r="B66" s="340" t="s">
        <v>171</v>
      </c>
      <c r="C66" s="341"/>
      <c r="D66" s="342"/>
      <c r="E66" s="82"/>
      <c r="F66" s="108"/>
      <c r="G66" s="13"/>
      <c r="H66" s="15"/>
      <c r="I66" s="15">
        <v>16800</v>
      </c>
      <c r="J66" s="15"/>
      <c r="K66" s="15">
        <f>0+I66</f>
        <v>16800</v>
      </c>
      <c r="L66" s="15">
        <f>0+K66</f>
        <v>16800</v>
      </c>
      <c r="M66" s="119">
        <f t="shared" si="8"/>
        <v>-16800</v>
      </c>
      <c r="N66" s="124">
        <f t="shared" si="8"/>
        <v>-16800</v>
      </c>
      <c r="O66" s="31">
        <v>0</v>
      </c>
      <c r="P66" s="123">
        <v>0</v>
      </c>
      <c r="Q66" s="173"/>
      <c r="R66" s="173"/>
    </row>
    <row r="67" spans="1:18" ht="30.75" customHeight="1" thickBot="1">
      <c r="A67" s="128" t="s">
        <v>67</v>
      </c>
      <c r="B67" s="588" t="s">
        <v>226</v>
      </c>
      <c r="C67" s="589"/>
      <c r="D67" s="590"/>
      <c r="E67" s="81">
        <v>0</v>
      </c>
      <c r="F67" s="114">
        <f>15000+E67</f>
        <v>15000</v>
      </c>
      <c r="G67" s="32">
        <f>G68+G69</f>
        <v>1090</v>
      </c>
      <c r="H67" s="23"/>
      <c r="I67" s="23"/>
      <c r="J67" s="23"/>
      <c r="K67" s="23">
        <f>K68+K69+K70</f>
        <v>1090</v>
      </c>
      <c r="L67" s="23">
        <f aca="true" t="shared" si="9" ref="K67:L70">0+K67</f>
        <v>1090</v>
      </c>
      <c r="M67" s="120">
        <f t="shared" si="8"/>
        <v>-1090</v>
      </c>
      <c r="N67" s="125">
        <f t="shared" si="8"/>
        <v>13910</v>
      </c>
      <c r="O67" s="26">
        <v>0</v>
      </c>
      <c r="P67" s="27">
        <v>0</v>
      </c>
      <c r="Q67" s="173"/>
      <c r="R67" s="18"/>
    </row>
    <row r="68" spans="1:18" ht="15.75" thickBot="1">
      <c r="A68" s="29" t="s">
        <v>169</v>
      </c>
      <c r="B68" s="390" t="s">
        <v>152</v>
      </c>
      <c r="C68" s="391"/>
      <c r="D68" s="392"/>
      <c r="E68" s="112"/>
      <c r="F68" s="108">
        <f>15000+E68</f>
        <v>15000</v>
      </c>
      <c r="G68" s="13">
        <v>1090</v>
      </c>
      <c r="H68" s="15"/>
      <c r="I68" s="15"/>
      <c r="J68" s="15"/>
      <c r="K68" s="15">
        <f>G68</f>
        <v>1090</v>
      </c>
      <c r="L68" s="15">
        <f>0+K68</f>
        <v>1090</v>
      </c>
      <c r="M68" s="119">
        <f t="shared" si="8"/>
        <v>-1090</v>
      </c>
      <c r="N68" s="124">
        <f t="shared" si="8"/>
        <v>13910</v>
      </c>
      <c r="O68" s="31">
        <v>0</v>
      </c>
      <c r="P68" s="123">
        <v>0</v>
      </c>
      <c r="Q68" s="173"/>
      <c r="R68" s="18"/>
    </row>
    <row r="69" spans="1:18" ht="30" customHeight="1" thickBot="1">
      <c r="A69" s="29" t="s">
        <v>170</v>
      </c>
      <c r="B69" s="340" t="s">
        <v>171</v>
      </c>
      <c r="C69" s="341"/>
      <c r="D69" s="342"/>
      <c r="E69" s="112"/>
      <c r="F69" s="108"/>
      <c r="G69" s="13"/>
      <c r="H69" s="15"/>
      <c r="I69" s="15"/>
      <c r="J69" s="15"/>
      <c r="K69" s="15">
        <f>G69</f>
        <v>0</v>
      </c>
      <c r="L69" s="15">
        <f t="shared" si="9"/>
        <v>0</v>
      </c>
      <c r="M69" s="119">
        <f t="shared" si="8"/>
        <v>0</v>
      </c>
      <c r="N69" s="124">
        <f t="shared" si="8"/>
        <v>0</v>
      </c>
      <c r="O69" s="31">
        <v>0</v>
      </c>
      <c r="P69" s="123">
        <v>0</v>
      </c>
      <c r="Q69" s="173"/>
      <c r="R69" s="18"/>
    </row>
    <row r="70" spans="1:18" ht="15.75" thickBot="1">
      <c r="A70" s="29" t="s">
        <v>172</v>
      </c>
      <c r="B70" s="340" t="s">
        <v>154</v>
      </c>
      <c r="C70" s="341"/>
      <c r="D70" s="342"/>
      <c r="E70" s="113"/>
      <c r="F70" s="108"/>
      <c r="G70" s="13"/>
      <c r="H70" s="15"/>
      <c r="I70" s="15"/>
      <c r="J70" s="15"/>
      <c r="K70" s="15">
        <f t="shared" si="9"/>
        <v>0</v>
      </c>
      <c r="L70" s="15">
        <f t="shared" si="9"/>
        <v>0</v>
      </c>
      <c r="M70" s="119">
        <f t="shared" si="8"/>
        <v>0</v>
      </c>
      <c r="N70" s="124">
        <f t="shared" si="8"/>
        <v>0</v>
      </c>
      <c r="O70" s="31">
        <v>0</v>
      </c>
      <c r="P70" s="123">
        <v>0</v>
      </c>
      <c r="Q70" s="173"/>
      <c r="R70" s="18"/>
    </row>
    <row r="71" spans="1:18" ht="20.25" customHeight="1" thickBot="1">
      <c r="A71" s="231" t="s">
        <v>69</v>
      </c>
      <c r="B71" s="508" t="s">
        <v>227</v>
      </c>
      <c r="C71" s="509"/>
      <c r="D71" s="510"/>
      <c r="E71" s="81">
        <v>3000</v>
      </c>
      <c r="F71" s="114">
        <f>9000+E71</f>
        <v>12000</v>
      </c>
      <c r="G71" s="32">
        <f>G72+G73</f>
        <v>810</v>
      </c>
      <c r="H71" s="23"/>
      <c r="I71" s="23"/>
      <c r="J71" s="23"/>
      <c r="K71" s="23">
        <f>G71</f>
        <v>810</v>
      </c>
      <c r="L71" s="23">
        <f>L72</f>
        <v>11592</v>
      </c>
      <c r="M71" s="120">
        <f t="shared" si="8"/>
        <v>2190</v>
      </c>
      <c r="N71" s="125">
        <f t="shared" si="8"/>
        <v>408</v>
      </c>
      <c r="O71" s="26">
        <v>0</v>
      </c>
      <c r="P71" s="27">
        <v>0</v>
      </c>
      <c r="Q71" s="173"/>
      <c r="R71" s="173"/>
    </row>
    <row r="72" spans="1:18" ht="15.75" thickBot="1">
      <c r="A72" s="29" t="s">
        <v>169</v>
      </c>
      <c r="B72" s="96" t="s">
        <v>152</v>
      </c>
      <c r="C72" s="97"/>
      <c r="D72" s="98"/>
      <c r="E72" s="112">
        <v>3000</v>
      </c>
      <c r="F72" s="108">
        <f>9000+E72</f>
        <v>12000</v>
      </c>
      <c r="G72" s="13">
        <v>810</v>
      </c>
      <c r="H72" s="15"/>
      <c r="I72" s="15"/>
      <c r="J72" s="15"/>
      <c r="K72" s="15">
        <f>G72</f>
        <v>810</v>
      </c>
      <c r="L72" s="15">
        <f>10782+K72</f>
        <v>11592</v>
      </c>
      <c r="M72" s="119">
        <f aca="true" t="shared" si="10" ref="M72:N82">E72-K72</f>
        <v>2190</v>
      </c>
      <c r="N72" s="124">
        <f t="shared" si="10"/>
        <v>408</v>
      </c>
      <c r="O72" s="31">
        <v>0</v>
      </c>
      <c r="P72" s="123">
        <v>0</v>
      </c>
      <c r="Q72" s="173"/>
      <c r="R72" s="173"/>
    </row>
    <row r="73" spans="1:18" ht="15.75" thickBot="1">
      <c r="A73" s="29" t="s">
        <v>172</v>
      </c>
      <c r="B73" s="340" t="s">
        <v>154</v>
      </c>
      <c r="C73" s="341"/>
      <c r="D73" s="342"/>
      <c r="E73" s="113"/>
      <c r="F73" s="108"/>
      <c r="G73" s="13"/>
      <c r="H73" s="15"/>
      <c r="I73" s="15"/>
      <c r="J73" s="15"/>
      <c r="K73" s="15">
        <f>0+J73</f>
        <v>0</v>
      </c>
      <c r="L73" s="15">
        <f>0+K73</f>
        <v>0</v>
      </c>
      <c r="M73" s="119">
        <f t="shared" si="10"/>
        <v>0</v>
      </c>
      <c r="N73" s="124">
        <f t="shared" si="10"/>
        <v>0</v>
      </c>
      <c r="O73" s="31">
        <v>0</v>
      </c>
      <c r="P73" s="123">
        <v>0</v>
      </c>
      <c r="Q73" s="173"/>
      <c r="R73" s="173"/>
    </row>
    <row r="74" spans="1:18" ht="27.75" customHeight="1" thickBot="1">
      <c r="A74" s="30" t="s">
        <v>71</v>
      </c>
      <c r="B74" s="508" t="s">
        <v>72</v>
      </c>
      <c r="C74" s="509"/>
      <c r="D74" s="510"/>
      <c r="E74" s="81">
        <f>E75</f>
        <v>3000</v>
      </c>
      <c r="F74" s="114">
        <f>155000+E74</f>
        <v>158000</v>
      </c>
      <c r="G74" s="32">
        <f>G75+G76+G77</f>
        <v>3476</v>
      </c>
      <c r="H74" s="23"/>
      <c r="I74" s="23"/>
      <c r="J74" s="23"/>
      <c r="K74" s="23">
        <f>K75+K76+K77</f>
        <v>3476</v>
      </c>
      <c r="L74" s="23">
        <f>L75+L76+L77</f>
        <v>38276</v>
      </c>
      <c r="M74" s="120">
        <f t="shared" si="10"/>
        <v>-476</v>
      </c>
      <c r="N74" s="125">
        <f t="shared" si="10"/>
        <v>119724</v>
      </c>
      <c r="O74" s="26">
        <v>0</v>
      </c>
      <c r="P74" s="27">
        <v>0</v>
      </c>
      <c r="Q74" s="173"/>
      <c r="R74" s="173"/>
    </row>
    <row r="75" spans="1:18" ht="15.75" thickBot="1">
      <c r="A75" s="29" t="s">
        <v>173</v>
      </c>
      <c r="B75" s="340" t="s">
        <v>152</v>
      </c>
      <c r="C75" s="341"/>
      <c r="D75" s="342"/>
      <c r="E75" s="112">
        <v>3000</v>
      </c>
      <c r="F75" s="108">
        <f>155000+E75</f>
        <v>158000</v>
      </c>
      <c r="G75" s="13">
        <v>3476</v>
      </c>
      <c r="H75" s="15"/>
      <c r="I75" s="15"/>
      <c r="J75" s="15"/>
      <c r="K75" s="15">
        <f>G75</f>
        <v>3476</v>
      </c>
      <c r="L75" s="15">
        <f>34800+K75</f>
        <v>38276</v>
      </c>
      <c r="M75" s="119">
        <f>E75-K75</f>
        <v>-476</v>
      </c>
      <c r="N75" s="124">
        <f t="shared" si="10"/>
        <v>119724</v>
      </c>
      <c r="O75" s="31">
        <v>0</v>
      </c>
      <c r="P75" s="123">
        <v>0</v>
      </c>
      <c r="Q75" s="173"/>
      <c r="R75" s="173"/>
    </row>
    <row r="76" spans="1:18" ht="15.75" thickBot="1">
      <c r="A76" s="29" t="s">
        <v>174</v>
      </c>
      <c r="B76" s="340" t="s">
        <v>171</v>
      </c>
      <c r="C76" s="341"/>
      <c r="D76" s="342"/>
      <c r="E76" s="113"/>
      <c r="F76" s="108"/>
      <c r="G76" s="13"/>
      <c r="H76" s="15"/>
      <c r="I76" s="15"/>
      <c r="J76" s="15"/>
      <c r="K76" s="15">
        <f aca="true" t="shared" si="11" ref="K76:L82">0+J76</f>
        <v>0</v>
      </c>
      <c r="L76" s="15">
        <f t="shared" si="11"/>
        <v>0</v>
      </c>
      <c r="M76" s="119">
        <f t="shared" si="10"/>
        <v>0</v>
      </c>
      <c r="N76" s="124">
        <f t="shared" si="10"/>
        <v>0</v>
      </c>
      <c r="O76" s="31">
        <v>0</v>
      </c>
      <c r="P76" s="123">
        <v>0</v>
      </c>
      <c r="Q76" s="173"/>
      <c r="R76" s="173"/>
    </row>
    <row r="77" spans="1:18" ht="15.75" thickBot="1">
      <c r="A77" s="29" t="s">
        <v>175</v>
      </c>
      <c r="B77" s="96" t="s">
        <v>154</v>
      </c>
      <c r="C77" s="97"/>
      <c r="D77" s="98"/>
      <c r="E77" s="112"/>
      <c r="F77" s="108"/>
      <c r="G77" s="13"/>
      <c r="H77" s="15"/>
      <c r="I77" s="15"/>
      <c r="J77" s="15"/>
      <c r="K77" s="15">
        <f t="shared" si="11"/>
        <v>0</v>
      </c>
      <c r="L77" s="15">
        <f t="shared" si="11"/>
        <v>0</v>
      </c>
      <c r="M77" s="119">
        <f t="shared" si="10"/>
        <v>0</v>
      </c>
      <c r="N77" s="124">
        <f t="shared" si="10"/>
        <v>0</v>
      </c>
      <c r="O77" s="31">
        <v>0</v>
      </c>
      <c r="P77" s="123">
        <v>0</v>
      </c>
      <c r="Q77" s="173"/>
      <c r="R77" s="173"/>
    </row>
    <row r="78" spans="1:18" ht="33" customHeight="1" thickBot="1">
      <c r="A78" s="128" t="s">
        <v>73</v>
      </c>
      <c r="B78" s="395" t="s">
        <v>74</v>
      </c>
      <c r="C78" s="396"/>
      <c r="D78" s="397"/>
      <c r="E78" s="81">
        <f>E79</f>
        <v>0</v>
      </c>
      <c r="F78" s="114">
        <f>F79</f>
        <v>1500</v>
      </c>
      <c r="G78" s="32"/>
      <c r="H78" s="23"/>
      <c r="I78" s="23"/>
      <c r="J78" s="23"/>
      <c r="K78" s="23">
        <f t="shared" si="11"/>
        <v>0</v>
      </c>
      <c r="L78" s="23">
        <f t="shared" si="11"/>
        <v>0</v>
      </c>
      <c r="M78" s="120">
        <f t="shared" si="10"/>
        <v>0</v>
      </c>
      <c r="N78" s="125">
        <f>F78-L78</f>
        <v>1500</v>
      </c>
      <c r="O78" s="26">
        <v>0</v>
      </c>
      <c r="P78" s="27">
        <v>0</v>
      </c>
      <c r="Q78" s="173"/>
      <c r="R78" s="173"/>
    </row>
    <row r="79" spans="1:18" ht="15.75" thickBot="1">
      <c r="A79" s="29" t="s">
        <v>176</v>
      </c>
      <c r="B79" s="96" t="s">
        <v>152</v>
      </c>
      <c r="C79" s="97"/>
      <c r="D79" s="98"/>
      <c r="E79" s="113">
        <v>0</v>
      </c>
      <c r="F79" s="108">
        <f>1500+E79</f>
        <v>1500</v>
      </c>
      <c r="G79" s="13"/>
      <c r="H79" s="15"/>
      <c r="I79" s="15"/>
      <c r="J79" s="15"/>
      <c r="K79" s="15">
        <f t="shared" si="11"/>
        <v>0</v>
      </c>
      <c r="L79" s="15">
        <f t="shared" si="11"/>
        <v>0</v>
      </c>
      <c r="M79" s="119">
        <f t="shared" si="10"/>
        <v>0</v>
      </c>
      <c r="N79" s="124">
        <f>F79-L79</f>
        <v>1500</v>
      </c>
      <c r="O79" s="31">
        <v>0</v>
      </c>
      <c r="P79" s="123">
        <v>0</v>
      </c>
      <c r="Q79" s="173"/>
      <c r="R79" s="173"/>
    </row>
    <row r="80" spans="1:18" ht="15.75" thickBot="1">
      <c r="A80" s="128" t="s">
        <v>75</v>
      </c>
      <c r="B80" s="395" t="s">
        <v>76</v>
      </c>
      <c r="C80" s="396"/>
      <c r="D80" s="397"/>
      <c r="E80" s="81">
        <f>E81</f>
        <v>0</v>
      </c>
      <c r="F80" s="114">
        <f>F81</f>
        <v>18500</v>
      </c>
      <c r="G80" s="32"/>
      <c r="H80" s="23"/>
      <c r="I80" s="23"/>
      <c r="J80" s="23"/>
      <c r="K80" s="23">
        <f t="shared" si="11"/>
        <v>0</v>
      </c>
      <c r="L80" s="23">
        <f>0+K80</f>
        <v>0</v>
      </c>
      <c r="M80" s="120">
        <f>E80-K80</f>
        <v>0</v>
      </c>
      <c r="N80" s="125">
        <f>F80-L80</f>
        <v>18500</v>
      </c>
      <c r="O80" s="26">
        <v>0</v>
      </c>
      <c r="P80" s="27">
        <v>0</v>
      </c>
      <c r="Q80" s="173"/>
      <c r="R80" s="173"/>
    </row>
    <row r="81" spans="1:18" ht="15.75" thickBot="1">
      <c r="A81" s="29" t="s">
        <v>177</v>
      </c>
      <c r="B81" s="390" t="s">
        <v>152</v>
      </c>
      <c r="C81" s="391"/>
      <c r="D81" s="392"/>
      <c r="E81" s="113">
        <v>0</v>
      </c>
      <c r="F81" s="108">
        <f>18500+E81</f>
        <v>18500</v>
      </c>
      <c r="G81" s="198"/>
      <c r="H81" s="199"/>
      <c r="I81" s="93"/>
      <c r="J81" s="199"/>
      <c r="K81" s="15">
        <f t="shared" si="11"/>
        <v>0</v>
      </c>
      <c r="L81" s="15">
        <f t="shared" si="11"/>
        <v>0</v>
      </c>
      <c r="M81" s="119">
        <f>E81-K81</f>
        <v>0</v>
      </c>
      <c r="N81" s="124">
        <f>F81-L81</f>
        <v>18500</v>
      </c>
      <c r="O81" s="31">
        <v>0</v>
      </c>
      <c r="P81" s="123">
        <v>0</v>
      </c>
      <c r="Q81" s="173"/>
      <c r="R81" s="173"/>
    </row>
    <row r="82" spans="1:18" ht="15.75" thickBot="1">
      <c r="A82" s="29" t="s">
        <v>178</v>
      </c>
      <c r="B82" s="96" t="s">
        <v>154</v>
      </c>
      <c r="C82" s="97"/>
      <c r="D82" s="98"/>
      <c r="E82" s="113"/>
      <c r="F82" s="15"/>
      <c r="G82" s="13"/>
      <c r="H82" s="200"/>
      <c r="I82" s="15"/>
      <c r="J82" s="200"/>
      <c r="K82" s="15">
        <f t="shared" si="11"/>
        <v>0</v>
      </c>
      <c r="L82" s="15">
        <f t="shared" si="11"/>
        <v>0</v>
      </c>
      <c r="M82" s="119">
        <f t="shared" si="10"/>
        <v>0</v>
      </c>
      <c r="N82" s="124">
        <f t="shared" si="10"/>
        <v>0</v>
      </c>
      <c r="O82" s="31">
        <v>0</v>
      </c>
      <c r="P82" s="123">
        <v>0</v>
      </c>
      <c r="Q82" s="173"/>
      <c r="R82" s="173"/>
    </row>
    <row r="83" spans="1:18" ht="12" customHeight="1" thickBot="1">
      <c r="A83" s="398"/>
      <c r="B83" s="591" t="s">
        <v>30</v>
      </c>
      <c r="C83" s="592"/>
      <c r="D83" s="592"/>
      <c r="E83" s="592"/>
      <c r="F83" s="592"/>
      <c r="G83" s="592"/>
      <c r="H83" s="592"/>
      <c r="I83" s="592"/>
      <c r="J83" s="592"/>
      <c r="K83" s="592"/>
      <c r="L83" s="592"/>
      <c r="M83" s="592"/>
      <c r="N83" s="592"/>
      <c r="O83" s="592"/>
      <c r="P83" s="593"/>
      <c r="Q83" s="173"/>
      <c r="R83" s="173"/>
    </row>
    <row r="84" spans="1:18" ht="15.75" hidden="1" thickBot="1">
      <c r="A84" s="399"/>
      <c r="B84" s="594"/>
      <c r="C84" s="595"/>
      <c r="D84" s="595"/>
      <c r="E84" s="595"/>
      <c r="F84" s="595"/>
      <c r="G84" s="595"/>
      <c r="H84" s="595"/>
      <c r="I84" s="595"/>
      <c r="J84" s="595"/>
      <c r="K84" s="595"/>
      <c r="L84" s="595"/>
      <c r="M84" s="595"/>
      <c r="N84" s="595"/>
      <c r="O84" s="595"/>
      <c r="P84" s="596"/>
      <c r="Q84" s="173"/>
      <c r="R84" s="173"/>
    </row>
    <row r="85" spans="1:18" ht="15.75" thickBot="1">
      <c r="A85" s="398"/>
      <c r="B85" s="550" t="s">
        <v>14</v>
      </c>
      <c r="C85" s="551"/>
      <c r="D85" s="552"/>
      <c r="E85" s="581" t="s">
        <v>24</v>
      </c>
      <c r="F85" s="583" t="s">
        <v>25</v>
      </c>
      <c r="G85" s="532" t="s">
        <v>31</v>
      </c>
      <c r="H85" s="522"/>
      <c r="I85" s="522"/>
      <c r="J85" s="522"/>
      <c r="K85" s="533"/>
      <c r="L85" s="534" t="s">
        <v>16</v>
      </c>
      <c r="M85" s="534" t="s">
        <v>17</v>
      </c>
      <c r="N85" s="534" t="s">
        <v>18</v>
      </c>
      <c r="O85" s="534" t="s">
        <v>19</v>
      </c>
      <c r="P85" s="534" t="s">
        <v>20</v>
      </c>
      <c r="Q85" s="173"/>
      <c r="R85" s="173"/>
    </row>
    <row r="86" spans="1:18" ht="45.75" customHeight="1" thickBot="1">
      <c r="A86" s="399"/>
      <c r="B86" s="553"/>
      <c r="C86" s="554"/>
      <c r="D86" s="555"/>
      <c r="E86" s="582"/>
      <c r="F86" s="584"/>
      <c r="G86" s="191" t="s">
        <v>32</v>
      </c>
      <c r="H86" s="191" t="s">
        <v>33</v>
      </c>
      <c r="I86" s="191" t="s">
        <v>34</v>
      </c>
      <c r="J86" s="175" t="s">
        <v>77</v>
      </c>
      <c r="K86" s="176" t="s">
        <v>27</v>
      </c>
      <c r="L86" s="535"/>
      <c r="M86" s="535"/>
      <c r="N86" s="535"/>
      <c r="O86" s="535"/>
      <c r="P86" s="535"/>
      <c r="Q86" s="173"/>
      <c r="R86" s="173"/>
    </row>
    <row r="87" spans="1:18" ht="14.25" customHeight="1" thickBot="1">
      <c r="A87" s="29"/>
      <c r="B87" s="536">
        <v>1</v>
      </c>
      <c r="C87" s="537"/>
      <c r="D87" s="538"/>
      <c r="E87" s="180" t="s">
        <v>22</v>
      </c>
      <c r="F87" s="191">
        <v>3</v>
      </c>
      <c r="G87" s="191">
        <v>4</v>
      </c>
      <c r="H87" s="191">
        <v>5</v>
      </c>
      <c r="I87" s="175">
        <v>6</v>
      </c>
      <c r="J87" s="175">
        <v>7</v>
      </c>
      <c r="K87" s="192">
        <v>8</v>
      </c>
      <c r="L87" s="183">
        <v>9</v>
      </c>
      <c r="M87" s="175">
        <v>10</v>
      </c>
      <c r="N87" s="183">
        <v>11</v>
      </c>
      <c r="O87" s="175">
        <v>12</v>
      </c>
      <c r="P87" s="183">
        <v>13</v>
      </c>
      <c r="Q87" s="173"/>
      <c r="R87" s="173"/>
    </row>
    <row r="88" spans="1:18" ht="30" customHeight="1" thickBot="1">
      <c r="A88" s="22" t="s">
        <v>78</v>
      </c>
      <c r="B88" s="395" t="s">
        <v>79</v>
      </c>
      <c r="C88" s="396"/>
      <c r="D88" s="397"/>
      <c r="E88" s="81">
        <f>E89</f>
        <v>27555</v>
      </c>
      <c r="F88" s="114">
        <f>82665+E88</f>
        <v>110220</v>
      </c>
      <c r="G88" s="81">
        <f>G89+G90+G91+G92</f>
        <v>28890.73</v>
      </c>
      <c r="H88" s="23"/>
      <c r="I88" s="23"/>
      <c r="J88" s="23"/>
      <c r="K88" s="83">
        <f>K89+K90+K91+K92</f>
        <v>28890.73</v>
      </c>
      <c r="L88" s="23">
        <f>71169.37+K88</f>
        <v>100060.09999999999</v>
      </c>
      <c r="M88" s="120">
        <f aca="true" t="shared" si="12" ref="M88:N103">E88-K88</f>
        <v>-1335.7299999999996</v>
      </c>
      <c r="N88" s="125">
        <f t="shared" si="12"/>
        <v>10159.900000000009</v>
      </c>
      <c r="O88" s="26">
        <v>0</v>
      </c>
      <c r="P88" s="27">
        <v>0</v>
      </c>
      <c r="Q88" s="18"/>
      <c r="R88" s="173"/>
    </row>
    <row r="89" spans="1:18" ht="15.75" thickBot="1">
      <c r="A89" s="29" t="s">
        <v>179</v>
      </c>
      <c r="B89" s="390" t="s">
        <v>152</v>
      </c>
      <c r="C89" s="391"/>
      <c r="D89" s="392"/>
      <c r="E89" s="112">
        <f>E93+E94+E96+E97+E98+E100+E99+E95</f>
        <v>27555</v>
      </c>
      <c r="F89" s="108">
        <f>82665+E89</f>
        <v>110220</v>
      </c>
      <c r="G89" s="82">
        <f>G96+G97+G98+G100+G93+G94</f>
        <v>28890.73</v>
      </c>
      <c r="H89" s="15"/>
      <c r="I89" s="15"/>
      <c r="J89" s="15"/>
      <c r="K89" s="84">
        <f>G89</f>
        <v>28890.73</v>
      </c>
      <c r="L89" s="15">
        <f>L93+L94+L96+L97+L98+L99+L100</f>
        <v>100060.1</v>
      </c>
      <c r="M89" s="119">
        <f t="shared" si="12"/>
        <v>-1335.7299999999996</v>
      </c>
      <c r="N89" s="124">
        <f t="shared" si="12"/>
        <v>10159.899999999994</v>
      </c>
      <c r="O89" s="31">
        <v>0</v>
      </c>
      <c r="P89" s="123">
        <v>0</v>
      </c>
      <c r="Q89" s="18"/>
      <c r="R89" s="173"/>
    </row>
    <row r="90" spans="1:18" ht="15.75" thickBot="1">
      <c r="A90" s="29" t="s">
        <v>180</v>
      </c>
      <c r="B90" s="390" t="s">
        <v>151</v>
      </c>
      <c r="C90" s="391"/>
      <c r="D90" s="392"/>
      <c r="E90" s="112"/>
      <c r="F90" s="108"/>
      <c r="G90" s="82"/>
      <c r="H90" s="15"/>
      <c r="I90" s="15"/>
      <c r="J90" s="15"/>
      <c r="K90" s="84">
        <f aca="true" t="shared" si="13" ref="K90:K99">G90</f>
        <v>0</v>
      </c>
      <c r="L90" s="15">
        <f aca="true" t="shared" si="14" ref="L90:L120">0+K90</f>
        <v>0</v>
      </c>
      <c r="M90" s="119">
        <f t="shared" si="12"/>
        <v>0</v>
      </c>
      <c r="N90" s="124">
        <f t="shared" si="12"/>
        <v>0</v>
      </c>
      <c r="O90" s="31">
        <v>0</v>
      </c>
      <c r="P90" s="123">
        <v>0</v>
      </c>
      <c r="Q90" s="18"/>
      <c r="R90" s="173"/>
    </row>
    <row r="91" spans="1:18" ht="15.75" thickBot="1">
      <c r="A91" s="29" t="s">
        <v>181</v>
      </c>
      <c r="B91" s="340" t="s">
        <v>171</v>
      </c>
      <c r="C91" s="341"/>
      <c r="D91" s="342"/>
      <c r="E91" s="112"/>
      <c r="F91" s="108"/>
      <c r="G91" s="82"/>
      <c r="H91" s="15"/>
      <c r="I91" s="15"/>
      <c r="J91" s="15"/>
      <c r="K91" s="84">
        <f t="shared" si="13"/>
        <v>0</v>
      </c>
      <c r="L91" s="15">
        <f t="shared" si="14"/>
        <v>0</v>
      </c>
      <c r="M91" s="119">
        <f t="shared" si="12"/>
        <v>0</v>
      </c>
      <c r="N91" s="124">
        <f t="shared" si="12"/>
        <v>0</v>
      </c>
      <c r="O91" s="31">
        <v>0</v>
      </c>
      <c r="P91" s="123">
        <v>0</v>
      </c>
      <c r="Q91" s="18"/>
      <c r="R91" s="173"/>
    </row>
    <row r="92" spans="1:18" ht="15.75" thickBot="1">
      <c r="A92" s="29" t="s">
        <v>182</v>
      </c>
      <c r="B92" s="340" t="s">
        <v>154</v>
      </c>
      <c r="C92" s="341"/>
      <c r="D92" s="342"/>
      <c r="E92" s="112"/>
      <c r="F92" s="108"/>
      <c r="G92" s="82"/>
      <c r="H92" s="15"/>
      <c r="I92" s="15"/>
      <c r="J92" s="15"/>
      <c r="K92" s="84">
        <f t="shared" si="13"/>
        <v>0</v>
      </c>
      <c r="L92" s="15">
        <f t="shared" si="14"/>
        <v>0</v>
      </c>
      <c r="M92" s="119">
        <f t="shared" si="12"/>
        <v>0</v>
      </c>
      <c r="N92" s="124">
        <f t="shared" si="12"/>
        <v>0</v>
      </c>
      <c r="O92" s="31">
        <v>0</v>
      </c>
      <c r="P92" s="123">
        <v>0</v>
      </c>
      <c r="Q92" s="18"/>
      <c r="R92" s="196">
        <f>L93+L94+L95+L96+L97+L98+L99+L100</f>
        <v>100060.1</v>
      </c>
    </row>
    <row r="93" spans="1:18" ht="15.75" thickBot="1">
      <c r="A93" s="29" t="s">
        <v>80</v>
      </c>
      <c r="B93" s="359" t="s">
        <v>81</v>
      </c>
      <c r="C93" s="360"/>
      <c r="D93" s="361"/>
      <c r="E93" s="108">
        <v>3000</v>
      </c>
      <c r="F93" s="108">
        <f>9000+E93</f>
        <v>12000</v>
      </c>
      <c r="G93" s="82">
        <v>3000</v>
      </c>
      <c r="H93" s="13"/>
      <c r="I93" s="13"/>
      <c r="J93" s="13"/>
      <c r="K93" s="84">
        <f t="shared" si="13"/>
        <v>3000</v>
      </c>
      <c r="L93" s="15">
        <f>9000+K93</f>
        <v>12000</v>
      </c>
      <c r="M93" s="119">
        <f t="shared" si="12"/>
        <v>0</v>
      </c>
      <c r="N93" s="124">
        <f t="shared" si="12"/>
        <v>0</v>
      </c>
      <c r="O93" s="31">
        <v>0</v>
      </c>
      <c r="P93" s="123">
        <v>0</v>
      </c>
      <c r="Q93" s="173"/>
      <c r="R93" s="18">
        <f>L89+L90+L91+L92</f>
        <v>100060.1</v>
      </c>
    </row>
    <row r="94" spans="1:18" ht="15.75" thickBot="1">
      <c r="A94" s="29" t="s">
        <v>82</v>
      </c>
      <c r="B94" s="387" t="s">
        <v>209</v>
      </c>
      <c r="C94" s="388"/>
      <c r="D94" s="389"/>
      <c r="E94" s="108">
        <v>4400</v>
      </c>
      <c r="F94" s="108">
        <f>13200+E94</f>
        <v>17600</v>
      </c>
      <c r="G94" s="82">
        <v>4400</v>
      </c>
      <c r="H94" s="13"/>
      <c r="I94" s="13"/>
      <c r="J94" s="13"/>
      <c r="K94" s="84">
        <f>G94</f>
        <v>4400</v>
      </c>
      <c r="L94" s="15">
        <f>13200+K94</f>
        <v>17600</v>
      </c>
      <c r="M94" s="119">
        <f t="shared" si="12"/>
        <v>0</v>
      </c>
      <c r="N94" s="124">
        <f t="shared" si="12"/>
        <v>0</v>
      </c>
      <c r="O94" s="31">
        <v>0</v>
      </c>
      <c r="P94" s="123">
        <v>0</v>
      </c>
      <c r="Q94" s="173"/>
      <c r="R94" s="173"/>
    </row>
    <row r="95" spans="1:18" ht="15.75" thickBot="1">
      <c r="A95" s="29" t="s">
        <v>83</v>
      </c>
      <c r="B95" s="359" t="s">
        <v>84</v>
      </c>
      <c r="C95" s="360"/>
      <c r="D95" s="361"/>
      <c r="E95" s="108"/>
      <c r="F95" s="108">
        <f>0+E95</f>
        <v>0</v>
      </c>
      <c r="G95" s="82"/>
      <c r="H95" s="13"/>
      <c r="I95" s="13"/>
      <c r="J95" s="13"/>
      <c r="K95" s="84">
        <f t="shared" si="13"/>
        <v>0</v>
      </c>
      <c r="L95" s="15">
        <f t="shared" si="14"/>
        <v>0</v>
      </c>
      <c r="M95" s="119">
        <f t="shared" si="12"/>
        <v>0</v>
      </c>
      <c r="N95" s="124">
        <f t="shared" si="12"/>
        <v>0</v>
      </c>
      <c r="O95" s="31">
        <v>0</v>
      </c>
      <c r="P95" s="123">
        <v>0</v>
      </c>
      <c r="Q95" s="173"/>
      <c r="R95" s="173"/>
    </row>
    <row r="96" spans="1:18" ht="15.75" thickBot="1">
      <c r="A96" s="29" t="s">
        <v>85</v>
      </c>
      <c r="B96" s="359" t="s">
        <v>86</v>
      </c>
      <c r="C96" s="360"/>
      <c r="D96" s="361"/>
      <c r="E96" s="108">
        <v>1355</v>
      </c>
      <c r="F96" s="108">
        <f>4065+E96</f>
        <v>5420</v>
      </c>
      <c r="G96" s="82">
        <v>845</v>
      </c>
      <c r="H96" s="13"/>
      <c r="I96" s="13"/>
      <c r="J96" s="13"/>
      <c r="K96" s="84">
        <f t="shared" si="13"/>
        <v>845</v>
      </c>
      <c r="L96" s="15">
        <f>3555+K96</f>
        <v>4400</v>
      </c>
      <c r="M96" s="119">
        <f t="shared" si="12"/>
        <v>510</v>
      </c>
      <c r="N96" s="124">
        <f t="shared" si="12"/>
        <v>1020</v>
      </c>
      <c r="O96" s="31">
        <v>0</v>
      </c>
      <c r="P96" s="123">
        <v>0</v>
      </c>
      <c r="Q96" s="173"/>
      <c r="R96" s="173"/>
    </row>
    <row r="97" spans="1:18" ht="15.75" thickBot="1">
      <c r="A97" s="29" t="s">
        <v>87</v>
      </c>
      <c r="B97" s="359" t="s">
        <v>88</v>
      </c>
      <c r="C97" s="360"/>
      <c r="D97" s="361"/>
      <c r="E97" s="108">
        <v>7500</v>
      </c>
      <c r="F97" s="108">
        <f>22500+E97</f>
        <v>30000</v>
      </c>
      <c r="G97" s="82">
        <v>8502.93</v>
      </c>
      <c r="H97" s="13"/>
      <c r="I97" s="13"/>
      <c r="J97" s="13"/>
      <c r="K97" s="84">
        <f>G97</f>
        <v>8502.93</v>
      </c>
      <c r="L97" s="15">
        <f>15104.68+K97</f>
        <v>23607.61</v>
      </c>
      <c r="M97" s="119">
        <f t="shared" si="12"/>
        <v>-1002.9300000000003</v>
      </c>
      <c r="N97" s="124">
        <f t="shared" si="12"/>
        <v>6392.389999999999</v>
      </c>
      <c r="O97" s="31">
        <v>0</v>
      </c>
      <c r="P97" s="123">
        <v>0</v>
      </c>
      <c r="Q97" s="173"/>
      <c r="R97" s="173"/>
    </row>
    <row r="98" spans="1:16" ht="15.75" thickBot="1">
      <c r="A98" s="29" t="s">
        <v>89</v>
      </c>
      <c r="B98" s="359" t="s">
        <v>90</v>
      </c>
      <c r="C98" s="360"/>
      <c r="D98" s="361"/>
      <c r="E98" s="108">
        <v>1500</v>
      </c>
      <c r="F98" s="108">
        <f>4500+E98</f>
        <v>6000</v>
      </c>
      <c r="G98" s="82">
        <v>2772</v>
      </c>
      <c r="H98" s="13"/>
      <c r="I98" s="13"/>
      <c r="J98" s="13"/>
      <c r="K98" s="84">
        <f t="shared" si="13"/>
        <v>2772</v>
      </c>
      <c r="L98" s="15">
        <f>5544+K98</f>
        <v>8316</v>
      </c>
      <c r="M98" s="119">
        <f t="shared" si="12"/>
        <v>-1272</v>
      </c>
      <c r="N98" s="124">
        <f t="shared" si="12"/>
        <v>-2316</v>
      </c>
      <c r="O98" s="31">
        <v>0</v>
      </c>
      <c r="P98" s="123">
        <v>0</v>
      </c>
    </row>
    <row r="99" spans="1:16" ht="15.75" thickBot="1">
      <c r="A99" s="29" t="s">
        <v>91</v>
      </c>
      <c r="B99" s="359" t="s">
        <v>92</v>
      </c>
      <c r="C99" s="360"/>
      <c r="D99" s="361"/>
      <c r="E99" s="108">
        <v>0</v>
      </c>
      <c r="F99" s="108">
        <f>0+E99</f>
        <v>0</v>
      </c>
      <c r="G99" s="82"/>
      <c r="H99" s="13"/>
      <c r="I99" s="13"/>
      <c r="J99" s="13"/>
      <c r="K99" s="84">
        <f t="shared" si="13"/>
        <v>0</v>
      </c>
      <c r="L99" s="15">
        <f t="shared" si="14"/>
        <v>0</v>
      </c>
      <c r="M99" s="119">
        <f t="shared" si="12"/>
        <v>0</v>
      </c>
      <c r="N99" s="124">
        <f t="shared" si="12"/>
        <v>0</v>
      </c>
      <c r="O99" s="31">
        <v>0</v>
      </c>
      <c r="P99" s="123">
        <v>0</v>
      </c>
    </row>
    <row r="100" spans="1:16" ht="15.75" thickBot="1">
      <c r="A100" s="29" t="s">
        <v>93</v>
      </c>
      <c r="B100" s="359" t="s">
        <v>94</v>
      </c>
      <c r="C100" s="360"/>
      <c r="D100" s="361"/>
      <c r="E100" s="108">
        <v>9800</v>
      </c>
      <c r="F100" s="108">
        <f>29400+E100</f>
        <v>39200</v>
      </c>
      <c r="G100" s="82">
        <v>9370.8</v>
      </c>
      <c r="H100" s="13"/>
      <c r="I100" s="13"/>
      <c r="J100" s="13"/>
      <c r="K100" s="84">
        <f>G100</f>
        <v>9370.8</v>
      </c>
      <c r="L100" s="15">
        <f>24765.69+K100</f>
        <v>34136.49</v>
      </c>
      <c r="M100" s="119">
        <f t="shared" si="12"/>
        <v>429.2000000000007</v>
      </c>
      <c r="N100" s="124">
        <f t="shared" si="12"/>
        <v>5063.510000000002</v>
      </c>
      <c r="O100" s="31">
        <v>0</v>
      </c>
      <c r="P100" s="123">
        <v>0</v>
      </c>
    </row>
    <row r="101" spans="1:18" ht="29.25" customHeight="1" thickBot="1">
      <c r="A101" s="56" t="s">
        <v>95</v>
      </c>
      <c r="B101" s="425" t="s">
        <v>96</v>
      </c>
      <c r="C101" s="323"/>
      <c r="D101" s="324"/>
      <c r="E101" s="114">
        <f>E102+E103</f>
        <v>14250</v>
      </c>
      <c r="F101" s="114">
        <f>172951+E101</f>
        <v>187201</v>
      </c>
      <c r="G101" s="114">
        <f>G102+G104+G105</f>
        <v>133605.34</v>
      </c>
      <c r="H101" s="32">
        <f>H103</f>
        <v>153006</v>
      </c>
      <c r="I101" s="23">
        <f>I104</f>
        <v>20877</v>
      </c>
      <c r="J101" s="23"/>
      <c r="K101" s="114">
        <f>G101+H101+I101+J101</f>
        <v>307488.33999999997</v>
      </c>
      <c r="L101" s="23">
        <f>L102+L103+L104+L105</f>
        <v>502403.58999999997</v>
      </c>
      <c r="M101" s="120">
        <f t="shared" si="12"/>
        <v>-293238.33999999997</v>
      </c>
      <c r="N101" s="125">
        <f t="shared" si="12"/>
        <v>-315202.58999999997</v>
      </c>
      <c r="O101" s="26">
        <v>0</v>
      </c>
      <c r="P101" s="27">
        <v>0</v>
      </c>
      <c r="R101" s="197">
        <f>L102+L104-L101</f>
        <v>-153006</v>
      </c>
    </row>
    <row r="102" spans="1:18" ht="15.75" thickBot="1">
      <c r="A102" s="29" t="s">
        <v>183</v>
      </c>
      <c r="B102" s="390" t="s">
        <v>152</v>
      </c>
      <c r="C102" s="391"/>
      <c r="D102" s="392"/>
      <c r="E102" s="112">
        <f>E106+E107+E114+E119+E131+E113</f>
        <v>1500</v>
      </c>
      <c r="F102" s="108">
        <f>134700+E102</f>
        <v>136200</v>
      </c>
      <c r="G102" s="13">
        <f>G106+G107+G108+G109+G110+G111+G112+G113+G114+G115+G116+G117+G118+G119+G126+G127+G128+G129+G130+G131</f>
        <v>133605.34</v>
      </c>
      <c r="H102" s="13"/>
      <c r="I102" s="15"/>
      <c r="J102" s="15"/>
      <c r="K102" s="84">
        <f>G102</f>
        <v>133605.34</v>
      </c>
      <c r="L102" s="15">
        <f>102742.25+K102</f>
        <v>236347.59</v>
      </c>
      <c r="M102" s="119">
        <f t="shared" si="12"/>
        <v>-132105.34</v>
      </c>
      <c r="N102" s="124">
        <f t="shared" si="12"/>
        <v>-100147.59</v>
      </c>
      <c r="O102" s="31">
        <v>0</v>
      </c>
      <c r="P102" s="123">
        <v>0</v>
      </c>
      <c r="R102" s="197"/>
    </row>
    <row r="103" spans="1:18" ht="15.75" thickBot="1">
      <c r="A103" s="29" t="s">
        <v>184</v>
      </c>
      <c r="B103" s="390" t="s">
        <v>151</v>
      </c>
      <c r="C103" s="391"/>
      <c r="D103" s="392"/>
      <c r="E103" s="112">
        <f>E129</f>
        <v>12750</v>
      </c>
      <c r="F103" s="108">
        <f>38251+E103</f>
        <v>51001</v>
      </c>
      <c r="G103" s="13"/>
      <c r="H103" s="13">
        <f>H129</f>
        <v>153006</v>
      </c>
      <c r="I103" s="15"/>
      <c r="J103" s="15"/>
      <c r="K103" s="84">
        <f>H103</f>
        <v>153006</v>
      </c>
      <c r="L103" s="15">
        <f>0+K103</f>
        <v>153006</v>
      </c>
      <c r="M103" s="119">
        <f t="shared" si="12"/>
        <v>-140256</v>
      </c>
      <c r="N103" s="124">
        <f t="shared" si="12"/>
        <v>-102005</v>
      </c>
      <c r="O103" s="31">
        <v>0</v>
      </c>
      <c r="P103" s="123">
        <v>0</v>
      </c>
      <c r="R103" s="201"/>
    </row>
    <row r="104" spans="1:16" ht="29.25" customHeight="1" thickBot="1">
      <c r="A104" s="29" t="s">
        <v>185</v>
      </c>
      <c r="B104" s="340" t="s">
        <v>171</v>
      </c>
      <c r="C104" s="341"/>
      <c r="D104" s="342"/>
      <c r="E104" s="112"/>
      <c r="F104" s="108"/>
      <c r="G104" s="108"/>
      <c r="H104" s="13"/>
      <c r="I104" s="15">
        <f>I128</f>
        <v>20877</v>
      </c>
      <c r="J104" s="15"/>
      <c r="K104" s="84">
        <f>I104</f>
        <v>20877</v>
      </c>
      <c r="L104" s="15">
        <f>92173+K104</f>
        <v>113050</v>
      </c>
      <c r="M104" s="119">
        <f aca="true" t="shared" si="15" ref="M104:N120">E104-K104</f>
        <v>-20877</v>
      </c>
      <c r="N104" s="124">
        <f t="shared" si="15"/>
        <v>-113050</v>
      </c>
      <c r="O104" s="31">
        <v>0</v>
      </c>
      <c r="P104" s="123">
        <v>0</v>
      </c>
    </row>
    <row r="105" spans="1:18" ht="15.75" thickBot="1">
      <c r="A105" s="29" t="s">
        <v>186</v>
      </c>
      <c r="B105" s="390" t="s">
        <v>154</v>
      </c>
      <c r="C105" s="391"/>
      <c r="D105" s="392"/>
      <c r="E105" s="112"/>
      <c r="F105" s="108"/>
      <c r="G105" s="13"/>
      <c r="H105" s="13"/>
      <c r="I105" s="15"/>
      <c r="J105" s="15"/>
      <c r="K105" s="84">
        <f>G105</f>
        <v>0</v>
      </c>
      <c r="L105" s="15">
        <f t="shared" si="14"/>
        <v>0</v>
      </c>
      <c r="M105" s="119">
        <f t="shared" si="15"/>
        <v>0</v>
      </c>
      <c r="N105" s="124">
        <f t="shared" si="15"/>
        <v>0</v>
      </c>
      <c r="O105" s="31">
        <v>0</v>
      </c>
      <c r="P105" s="123">
        <v>0</v>
      </c>
      <c r="R105" s="197">
        <f>L106+L113+L114+L118+L119+L131</f>
        <v>118968.05</v>
      </c>
    </row>
    <row r="106" spans="1:16" ht="15.75" thickBot="1">
      <c r="A106" s="29" t="s">
        <v>97</v>
      </c>
      <c r="B106" s="511" t="s">
        <v>98</v>
      </c>
      <c r="C106" s="512"/>
      <c r="D106" s="513"/>
      <c r="E106" s="108"/>
      <c r="F106" s="108">
        <f>32600+E106</f>
        <v>32600</v>
      </c>
      <c r="G106" s="13">
        <v>9000</v>
      </c>
      <c r="H106" s="13"/>
      <c r="I106" s="13"/>
      <c r="J106" s="13"/>
      <c r="K106" s="84">
        <f aca="true" t="shared" si="16" ref="K106:K120">G106</f>
        <v>9000</v>
      </c>
      <c r="L106" s="15">
        <f>28500+K106</f>
        <v>37500</v>
      </c>
      <c r="M106" s="119">
        <f t="shared" si="15"/>
        <v>-9000</v>
      </c>
      <c r="N106" s="124">
        <f t="shared" si="15"/>
        <v>-4900</v>
      </c>
      <c r="O106" s="31">
        <v>0</v>
      </c>
      <c r="P106" s="123">
        <v>0</v>
      </c>
    </row>
    <row r="107" spans="1:16" ht="15.75" thickBot="1">
      <c r="A107" s="29" t="s">
        <v>99</v>
      </c>
      <c r="B107" s="359" t="s">
        <v>100</v>
      </c>
      <c r="C107" s="360"/>
      <c r="D107" s="361"/>
      <c r="E107" s="108"/>
      <c r="F107" s="108">
        <f>15000+E107</f>
        <v>15000</v>
      </c>
      <c r="G107" s="13"/>
      <c r="H107" s="13"/>
      <c r="I107" s="13"/>
      <c r="J107" s="13"/>
      <c r="K107" s="84">
        <f t="shared" si="16"/>
        <v>0</v>
      </c>
      <c r="L107" s="15">
        <f t="shared" si="14"/>
        <v>0</v>
      </c>
      <c r="M107" s="119">
        <f t="shared" si="15"/>
        <v>0</v>
      </c>
      <c r="N107" s="124">
        <f t="shared" si="15"/>
        <v>15000</v>
      </c>
      <c r="O107" s="31">
        <v>0</v>
      </c>
      <c r="P107" s="123">
        <v>0</v>
      </c>
    </row>
    <row r="108" spans="1:16" ht="15.75" thickBot="1">
      <c r="A108" s="29" t="s">
        <v>101</v>
      </c>
      <c r="B108" s="384" t="s">
        <v>102</v>
      </c>
      <c r="C108" s="385"/>
      <c r="D108" s="386"/>
      <c r="E108" s="108"/>
      <c r="F108" s="108"/>
      <c r="G108" s="13"/>
      <c r="H108" s="13"/>
      <c r="I108" s="13"/>
      <c r="J108" s="13"/>
      <c r="K108" s="84">
        <f t="shared" si="16"/>
        <v>0</v>
      </c>
      <c r="L108" s="15">
        <f t="shared" si="14"/>
        <v>0</v>
      </c>
      <c r="M108" s="119">
        <f t="shared" si="15"/>
        <v>0</v>
      </c>
      <c r="N108" s="124">
        <f t="shared" si="15"/>
        <v>0</v>
      </c>
      <c r="O108" s="31">
        <v>0</v>
      </c>
      <c r="P108" s="123">
        <v>0</v>
      </c>
    </row>
    <row r="109" spans="1:16" ht="15.75" thickBot="1">
      <c r="A109" s="29" t="s">
        <v>103</v>
      </c>
      <c r="B109" s="359" t="s">
        <v>104</v>
      </c>
      <c r="C109" s="360"/>
      <c r="D109" s="361"/>
      <c r="E109" s="108"/>
      <c r="F109" s="108"/>
      <c r="G109" s="13"/>
      <c r="H109" s="13"/>
      <c r="I109" s="13"/>
      <c r="J109" s="13"/>
      <c r="K109" s="84">
        <f t="shared" si="16"/>
        <v>0</v>
      </c>
      <c r="L109" s="15">
        <f t="shared" si="14"/>
        <v>0</v>
      </c>
      <c r="M109" s="119">
        <f t="shared" si="15"/>
        <v>0</v>
      </c>
      <c r="N109" s="124">
        <f t="shared" si="15"/>
        <v>0</v>
      </c>
      <c r="O109" s="31">
        <v>0</v>
      </c>
      <c r="P109" s="123">
        <v>0</v>
      </c>
    </row>
    <row r="110" spans="1:18" ht="15.75" thickBot="1">
      <c r="A110" s="29" t="s">
        <v>105</v>
      </c>
      <c r="B110" s="359" t="s">
        <v>106</v>
      </c>
      <c r="C110" s="360"/>
      <c r="D110" s="361"/>
      <c r="E110" s="108"/>
      <c r="F110" s="108"/>
      <c r="G110" s="13"/>
      <c r="H110" s="13"/>
      <c r="I110" s="13"/>
      <c r="J110" s="13"/>
      <c r="K110" s="84">
        <f t="shared" si="16"/>
        <v>0</v>
      </c>
      <c r="L110" s="15">
        <f t="shared" si="14"/>
        <v>0</v>
      </c>
      <c r="M110" s="119">
        <f t="shared" si="15"/>
        <v>0</v>
      </c>
      <c r="N110" s="124">
        <f t="shared" si="15"/>
        <v>0</v>
      </c>
      <c r="O110" s="31">
        <v>0</v>
      </c>
      <c r="P110" s="123">
        <v>0</v>
      </c>
      <c r="R110" s="201"/>
    </row>
    <row r="111" spans="1:16" ht="15.75" thickBot="1">
      <c r="A111" s="29" t="s">
        <v>107</v>
      </c>
      <c r="B111" s="384" t="s">
        <v>108</v>
      </c>
      <c r="C111" s="385"/>
      <c r="D111" s="386"/>
      <c r="E111" s="108"/>
      <c r="F111" s="108"/>
      <c r="G111" s="13"/>
      <c r="H111" s="13"/>
      <c r="I111" s="13"/>
      <c r="J111" s="13"/>
      <c r="K111" s="84">
        <f t="shared" si="16"/>
        <v>0</v>
      </c>
      <c r="L111" s="15">
        <f t="shared" si="14"/>
        <v>0</v>
      </c>
      <c r="M111" s="119">
        <f t="shared" si="15"/>
        <v>0</v>
      </c>
      <c r="N111" s="124">
        <f t="shared" si="15"/>
        <v>0</v>
      </c>
      <c r="O111" s="31">
        <v>0</v>
      </c>
      <c r="P111" s="123">
        <v>0</v>
      </c>
    </row>
    <row r="112" spans="1:16" ht="15.75" thickBot="1">
      <c r="A112" s="29" t="s">
        <v>109</v>
      </c>
      <c r="B112" s="359" t="s">
        <v>110</v>
      </c>
      <c r="C112" s="360"/>
      <c r="D112" s="361"/>
      <c r="E112" s="108"/>
      <c r="F112" s="108"/>
      <c r="G112" s="13"/>
      <c r="H112" s="13"/>
      <c r="I112" s="13"/>
      <c r="J112" s="13"/>
      <c r="K112" s="84">
        <f t="shared" si="16"/>
        <v>0</v>
      </c>
      <c r="L112" s="15">
        <f t="shared" si="14"/>
        <v>0</v>
      </c>
      <c r="M112" s="119">
        <f t="shared" si="15"/>
        <v>0</v>
      </c>
      <c r="N112" s="124">
        <f t="shared" si="15"/>
        <v>0</v>
      </c>
      <c r="O112" s="31">
        <v>0</v>
      </c>
      <c r="P112" s="123">
        <v>0</v>
      </c>
    </row>
    <row r="113" spans="1:16" ht="15.75" thickBot="1">
      <c r="A113" s="29" t="s">
        <v>111</v>
      </c>
      <c r="B113" s="359" t="s">
        <v>112</v>
      </c>
      <c r="C113" s="360"/>
      <c r="D113" s="361"/>
      <c r="E113" s="108"/>
      <c r="F113" s="108">
        <f>40000+E113</f>
        <v>40000</v>
      </c>
      <c r="G113" s="13"/>
      <c r="H113" s="13"/>
      <c r="I113" s="13"/>
      <c r="J113" s="13"/>
      <c r="K113" s="84">
        <f t="shared" si="16"/>
        <v>0</v>
      </c>
      <c r="L113" s="15">
        <f>14490+K113</f>
        <v>14490</v>
      </c>
      <c r="M113" s="119">
        <f t="shared" si="15"/>
        <v>0</v>
      </c>
      <c r="N113" s="124">
        <f t="shared" si="15"/>
        <v>25510</v>
      </c>
      <c r="O113" s="31">
        <v>0</v>
      </c>
      <c r="P113" s="123">
        <v>0</v>
      </c>
    </row>
    <row r="114" spans="1:16" ht="15.75" thickBot="1">
      <c r="A114" s="29" t="s">
        <v>113</v>
      </c>
      <c r="B114" s="359" t="s">
        <v>114</v>
      </c>
      <c r="C114" s="360"/>
      <c r="D114" s="361"/>
      <c r="E114" s="108">
        <v>1500</v>
      </c>
      <c r="F114" s="108">
        <f>4500+E114</f>
        <v>6000</v>
      </c>
      <c r="G114" s="13">
        <v>679.8</v>
      </c>
      <c r="H114" s="13"/>
      <c r="I114" s="13"/>
      <c r="J114" s="13"/>
      <c r="K114" s="84">
        <f t="shared" si="16"/>
        <v>679.8</v>
      </c>
      <c r="L114" s="15">
        <f>7069.71+K114</f>
        <v>7749.51</v>
      </c>
      <c r="M114" s="119">
        <f t="shared" si="15"/>
        <v>820.2</v>
      </c>
      <c r="N114" s="124">
        <f t="shared" si="15"/>
        <v>-1749.5100000000002</v>
      </c>
      <c r="O114" s="31">
        <v>0</v>
      </c>
      <c r="P114" s="123">
        <v>0</v>
      </c>
    </row>
    <row r="115" spans="1:16" ht="15.75" thickBot="1">
      <c r="A115" s="29" t="s">
        <v>115</v>
      </c>
      <c r="B115" s="359" t="s">
        <v>116</v>
      </c>
      <c r="C115" s="360"/>
      <c r="D115" s="361"/>
      <c r="E115" s="108"/>
      <c r="F115" s="108"/>
      <c r="G115" s="13"/>
      <c r="H115" s="13"/>
      <c r="I115" s="13"/>
      <c r="J115" s="13"/>
      <c r="K115" s="84">
        <f t="shared" si="16"/>
        <v>0</v>
      </c>
      <c r="L115" s="15">
        <f t="shared" si="14"/>
        <v>0</v>
      </c>
      <c r="M115" s="119">
        <f t="shared" si="15"/>
        <v>0</v>
      </c>
      <c r="N115" s="124">
        <f t="shared" si="15"/>
        <v>0</v>
      </c>
      <c r="O115" s="31">
        <v>0</v>
      </c>
      <c r="P115" s="123">
        <v>0</v>
      </c>
    </row>
    <row r="116" spans="1:16" ht="15.75" thickBot="1">
      <c r="A116" s="29" t="s">
        <v>117</v>
      </c>
      <c r="B116" s="359" t="s">
        <v>118</v>
      </c>
      <c r="C116" s="360"/>
      <c r="D116" s="361"/>
      <c r="E116" s="108"/>
      <c r="F116" s="108"/>
      <c r="G116" s="13"/>
      <c r="H116" s="13"/>
      <c r="I116" s="13"/>
      <c r="J116" s="13"/>
      <c r="K116" s="84">
        <f t="shared" si="16"/>
        <v>0</v>
      </c>
      <c r="L116" s="15">
        <f t="shared" si="14"/>
        <v>0</v>
      </c>
      <c r="M116" s="119">
        <f t="shared" si="15"/>
        <v>0</v>
      </c>
      <c r="N116" s="124">
        <f t="shared" si="15"/>
        <v>0</v>
      </c>
      <c r="O116" s="31">
        <v>0</v>
      </c>
      <c r="P116" s="123">
        <v>0</v>
      </c>
    </row>
    <row r="117" spans="1:16" ht="15.75" thickBot="1">
      <c r="A117" s="29"/>
      <c r="B117" s="359" t="s">
        <v>119</v>
      </c>
      <c r="C117" s="360"/>
      <c r="D117" s="361"/>
      <c r="E117" s="108"/>
      <c r="F117" s="108"/>
      <c r="G117" s="13"/>
      <c r="H117" s="13"/>
      <c r="I117" s="13"/>
      <c r="J117" s="13"/>
      <c r="K117" s="84">
        <f t="shared" si="16"/>
        <v>0</v>
      </c>
      <c r="L117" s="15">
        <f t="shared" si="14"/>
        <v>0</v>
      </c>
      <c r="M117" s="119">
        <f t="shared" si="15"/>
        <v>0</v>
      </c>
      <c r="N117" s="124">
        <f t="shared" si="15"/>
        <v>0</v>
      </c>
      <c r="O117" s="31">
        <v>0</v>
      </c>
      <c r="P117" s="123">
        <v>0</v>
      </c>
    </row>
    <row r="118" spans="1:16" ht="15.75" thickBot="1">
      <c r="A118" s="29" t="s">
        <v>120</v>
      </c>
      <c r="B118" s="359" t="s">
        <v>121</v>
      </c>
      <c r="C118" s="360"/>
      <c r="D118" s="361"/>
      <c r="E118" s="108"/>
      <c r="F118" s="108"/>
      <c r="G118" s="13"/>
      <c r="H118" s="13"/>
      <c r="I118" s="13"/>
      <c r="J118" s="13"/>
      <c r="K118" s="84">
        <f t="shared" si="16"/>
        <v>0</v>
      </c>
      <c r="L118" s="15">
        <f>1827.49+K118</f>
        <v>1827.49</v>
      </c>
      <c r="M118" s="119">
        <f t="shared" si="15"/>
        <v>0</v>
      </c>
      <c r="N118" s="124">
        <f t="shared" si="15"/>
        <v>-1827.49</v>
      </c>
      <c r="O118" s="31">
        <v>0</v>
      </c>
      <c r="P118" s="123">
        <v>0</v>
      </c>
    </row>
    <row r="119" spans="1:16" ht="15.75" thickBot="1">
      <c r="A119" s="29" t="s">
        <v>211</v>
      </c>
      <c r="B119" s="381" t="s">
        <v>122</v>
      </c>
      <c r="C119" s="382"/>
      <c r="D119" s="383"/>
      <c r="E119" s="108"/>
      <c r="F119" s="108">
        <f>36000+E119</f>
        <v>36000</v>
      </c>
      <c r="G119" s="13">
        <v>6546</v>
      </c>
      <c r="H119" s="13"/>
      <c r="I119" s="13"/>
      <c r="J119" s="13"/>
      <c r="K119" s="84">
        <f t="shared" si="16"/>
        <v>6546</v>
      </c>
      <c r="L119" s="15">
        <f>45160.38+K119</f>
        <v>51706.38</v>
      </c>
      <c r="M119" s="119">
        <f t="shared" si="15"/>
        <v>-6546</v>
      </c>
      <c r="N119" s="124">
        <f t="shared" si="15"/>
        <v>-15706.379999999997</v>
      </c>
      <c r="O119" s="31">
        <v>0</v>
      </c>
      <c r="P119" s="123">
        <v>0</v>
      </c>
    </row>
    <row r="120" spans="1:16" ht="15.75" thickBot="1">
      <c r="A120" s="34" t="s">
        <v>123</v>
      </c>
      <c r="B120" s="359" t="s">
        <v>124</v>
      </c>
      <c r="C120" s="360"/>
      <c r="D120" s="361"/>
      <c r="E120" s="108"/>
      <c r="F120" s="108"/>
      <c r="G120" s="13"/>
      <c r="H120" s="13"/>
      <c r="I120" s="13"/>
      <c r="J120" s="13"/>
      <c r="K120" s="84">
        <f t="shared" si="16"/>
        <v>0</v>
      </c>
      <c r="L120" s="15">
        <f t="shared" si="14"/>
        <v>0</v>
      </c>
      <c r="M120" s="119">
        <f t="shared" si="15"/>
        <v>0</v>
      </c>
      <c r="N120" s="124">
        <f t="shared" si="15"/>
        <v>0</v>
      </c>
      <c r="O120" s="31">
        <v>0</v>
      </c>
      <c r="P120" s="123">
        <v>0</v>
      </c>
    </row>
    <row r="121" spans="1:16" ht="15">
      <c r="A121" s="202"/>
      <c r="B121" s="576" t="s">
        <v>30</v>
      </c>
      <c r="C121" s="576"/>
      <c r="D121" s="576"/>
      <c r="E121" s="576"/>
      <c r="F121" s="576"/>
      <c r="G121" s="576"/>
      <c r="H121" s="576"/>
      <c r="I121" s="576"/>
      <c r="J121" s="576"/>
      <c r="K121" s="576"/>
      <c r="L121" s="576"/>
      <c r="M121" s="576"/>
      <c r="N121" s="576"/>
      <c r="O121" s="576"/>
      <c r="P121" s="577"/>
    </row>
    <row r="122" spans="1:16" ht="15.75" thickBot="1">
      <c r="A122" s="203"/>
      <c r="B122" s="579"/>
      <c r="C122" s="579"/>
      <c r="D122" s="579"/>
      <c r="E122" s="579"/>
      <c r="F122" s="579"/>
      <c r="G122" s="579"/>
      <c r="H122" s="579"/>
      <c r="I122" s="579"/>
      <c r="J122" s="579"/>
      <c r="K122" s="579"/>
      <c r="L122" s="579"/>
      <c r="M122" s="579"/>
      <c r="N122" s="579"/>
      <c r="O122" s="579"/>
      <c r="P122" s="580"/>
    </row>
    <row r="123" spans="1:16" ht="15.75" thickBot="1">
      <c r="A123" s="204"/>
      <c r="B123" s="599" t="s">
        <v>14</v>
      </c>
      <c r="C123" s="600"/>
      <c r="D123" s="601"/>
      <c r="E123" s="605" t="s">
        <v>24</v>
      </c>
      <c r="F123" s="607" t="s">
        <v>25</v>
      </c>
      <c r="G123" s="609" t="s">
        <v>31</v>
      </c>
      <c r="H123" s="610"/>
      <c r="I123" s="610"/>
      <c r="J123" s="610"/>
      <c r="K123" s="611"/>
      <c r="L123" s="597" t="s">
        <v>16</v>
      </c>
      <c r="M123" s="597" t="s">
        <v>17</v>
      </c>
      <c r="N123" s="597" t="s">
        <v>18</v>
      </c>
      <c r="O123" s="597" t="s">
        <v>19</v>
      </c>
      <c r="P123" s="597" t="s">
        <v>20</v>
      </c>
    </row>
    <row r="124" spans="1:16" ht="90" thickBot="1">
      <c r="A124" s="171"/>
      <c r="B124" s="602"/>
      <c r="C124" s="603"/>
      <c r="D124" s="604"/>
      <c r="E124" s="606"/>
      <c r="F124" s="608"/>
      <c r="G124" s="205" t="s">
        <v>32</v>
      </c>
      <c r="H124" s="205" t="s">
        <v>33</v>
      </c>
      <c r="I124" s="205" t="s">
        <v>34</v>
      </c>
      <c r="J124" s="206" t="s">
        <v>220</v>
      </c>
      <c r="K124" s="207" t="s">
        <v>27</v>
      </c>
      <c r="L124" s="598"/>
      <c r="M124" s="598"/>
      <c r="N124" s="598"/>
      <c r="O124" s="598"/>
      <c r="P124" s="598"/>
    </row>
    <row r="125" spans="1:16" ht="15.75" thickBot="1">
      <c r="A125" s="38"/>
      <c r="B125" s="536">
        <v>1</v>
      </c>
      <c r="C125" s="537"/>
      <c r="D125" s="538"/>
      <c r="E125" s="180" t="s">
        <v>22</v>
      </c>
      <c r="F125" s="191">
        <v>3</v>
      </c>
      <c r="G125" s="191">
        <v>4</v>
      </c>
      <c r="H125" s="191">
        <v>5</v>
      </c>
      <c r="I125" s="175">
        <v>6</v>
      </c>
      <c r="J125" s="175">
        <v>7</v>
      </c>
      <c r="K125" s="192">
        <v>8</v>
      </c>
      <c r="L125" s="183">
        <v>9</v>
      </c>
      <c r="M125" s="175">
        <v>10</v>
      </c>
      <c r="N125" s="183">
        <v>11</v>
      </c>
      <c r="O125" s="175">
        <v>12</v>
      </c>
      <c r="P125" s="183">
        <v>13</v>
      </c>
    </row>
    <row r="126" spans="1:16" ht="27.75" thickBot="1">
      <c r="A126" s="115" t="s">
        <v>125</v>
      </c>
      <c r="B126" s="514" t="s">
        <v>126</v>
      </c>
      <c r="C126" s="515"/>
      <c r="D126" s="516"/>
      <c r="E126" s="108"/>
      <c r="F126" s="108"/>
      <c r="G126" s="13"/>
      <c r="H126" s="13"/>
      <c r="I126" s="13"/>
      <c r="J126" s="13"/>
      <c r="K126" s="84">
        <f aca="true" t="shared" si="17" ref="K126:K140">G126</f>
        <v>0</v>
      </c>
      <c r="L126" s="15">
        <f aca="true" t="shared" si="18" ref="L126:L140">0+K126</f>
        <v>0</v>
      </c>
      <c r="M126" s="119">
        <f aca="true" t="shared" si="19" ref="M126:N141">E126-K126</f>
        <v>0</v>
      </c>
      <c r="N126" s="124">
        <f t="shared" si="19"/>
        <v>0</v>
      </c>
      <c r="O126" s="31">
        <v>0</v>
      </c>
      <c r="P126" s="123">
        <v>0</v>
      </c>
    </row>
    <row r="127" spans="1:16" ht="27.75" thickBot="1">
      <c r="A127" s="116" t="s">
        <v>127</v>
      </c>
      <c r="B127" s="427" t="s">
        <v>128</v>
      </c>
      <c r="C127" s="428"/>
      <c r="D127" s="429"/>
      <c r="E127" s="108"/>
      <c r="F127" s="108"/>
      <c r="G127" s="13"/>
      <c r="H127" s="13"/>
      <c r="I127" s="13"/>
      <c r="J127" s="13"/>
      <c r="K127" s="84">
        <f t="shared" si="17"/>
        <v>0</v>
      </c>
      <c r="L127" s="15">
        <f t="shared" si="18"/>
        <v>0</v>
      </c>
      <c r="M127" s="119">
        <f t="shared" si="19"/>
        <v>0</v>
      </c>
      <c r="N127" s="124">
        <f t="shared" si="19"/>
        <v>0</v>
      </c>
      <c r="O127" s="31">
        <v>0</v>
      </c>
      <c r="P127" s="123">
        <v>0</v>
      </c>
    </row>
    <row r="128" spans="1:16" ht="30.75" thickBot="1">
      <c r="A128" s="39" t="s">
        <v>129</v>
      </c>
      <c r="B128" s="359" t="s">
        <v>130</v>
      </c>
      <c r="C128" s="360"/>
      <c r="D128" s="361"/>
      <c r="E128" s="108"/>
      <c r="F128" s="108"/>
      <c r="G128" s="13">
        <v>117379.54</v>
      </c>
      <c r="H128" s="13"/>
      <c r="I128" s="13">
        <v>20877</v>
      </c>
      <c r="J128" s="13"/>
      <c r="K128" s="84">
        <f>I128+G128</f>
        <v>138256.53999999998</v>
      </c>
      <c r="L128" s="15">
        <f>92173+K128</f>
        <v>230429.53999999998</v>
      </c>
      <c r="M128" s="119">
        <f t="shared" si="19"/>
        <v>-138256.53999999998</v>
      </c>
      <c r="N128" s="124">
        <f t="shared" si="19"/>
        <v>-230429.53999999998</v>
      </c>
      <c r="O128" s="31">
        <v>0</v>
      </c>
      <c r="P128" s="123">
        <v>0</v>
      </c>
    </row>
    <row r="129" spans="1:16" ht="30.75" customHeight="1" thickBot="1">
      <c r="A129" s="39" t="s">
        <v>131</v>
      </c>
      <c r="B129" s="387" t="s">
        <v>222</v>
      </c>
      <c r="C129" s="388"/>
      <c r="D129" s="389"/>
      <c r="E129" s="108">
        <v>12750</v>
      </c>
      <c r="F129" s="108">
        <f>25500+E129</f>
        <v>38250</v>
      </c>
      <c r="G129" s="13"/>
      <c r="H129" s="13">
        <v>153006</v>
      </c>
      <c r="I129" s="13"/>
      <c r="J129" s="13"/>
      <c r="K129" s="84">
        <f>H129</f>
        <v>153006</v>
      </c>
      <c r="L129" s="15">
        <f t="shared" si="18"/>
        <v>153006</v>
      </c>
      <c r="M129" s="119">
        <f t="shared" si="19"/>
        <v>-140256</v>
      </c>
      <c r="N129" s="124">
        <f t="shared" si="19"/>
        <v>-114756</v>
      </c>
      <c r="O129" s="31">
        <v>0</v>
      </c>
      <c r="P129" s="123">
        <v>0</v>
      </c>
    </row>
    <row r="130" spans="1:16" ht="30.75" thickBot="1">
      <c r="A130" s="73" t="s">
        <v>133</v>
      </c>
      <c r="B130" s="359" t="s">
        <v>134</v>
      </c>
      <c r="C130" s="360"/>
      <c r="D130" s="361"/>
      <c r="E130" s="108"/>
      <c r="F130" s="108"/>
      <c r="G130" s="13"/>
      <c r="H130" s="13"/>
      <c r="I130" s="13"/>
      <c r="J130" s="13"/>
      <c r="K130" s="84">
        <f t="shared" si="17"/>
        <v>0</v>
      </c>
      <c r="L130" s="15">
        <f t="shared" si="18"/>
        <v>0</v>
      </c>
      <c r="M130" s="119">
        <f t="shared" si="19"/>
        <v>0</v>
      </c>
      <c r="N130" s="124">
        <f t="shared" si="19"/>
        <v>0</v>
      </c>
      <c r="O130" s="31">
        <v>0</v>
      </c>
      <c r="P130" s="123">
        <v>0</v>
      </c>
    </row>
    <row r="131" spans="1:16" ht="30.75" thickBot="1">
      <c r="A131" s="73" t="s">
        <v>135</v>
      </c>
      <c r="B131" s="511" t="s">
        <v>136</v>
      </c>
      <c r="C131" s="512"/>
      <c r="D131" s="513"/>
      <c r="E131" s="108"/>
      <c r="F131" s="108">
        <f>6000+E131</f>
        <v>6000</v>
      </c>
      <c r="G131" s="13"/>
      <c r="H131" s="13"/>
      <c r="I131" s="13"/>
      <c r="J131" s="13"/>
      <c r="K131" s="84">
        <f t="shared" si="17"/>
        <v>0</v>
      </c>
      <c r="L131" s="15">
        <f>5694.67+K131</f>
        <v>5694.67</v>
      </c>
      <c r="M131" s="119">
        <f t="shared" si="19"/>
        <v>0</v>
      </c>
      <c r="N131" s="124">
        <f t="shared" si="19"/>
        <v>305.3299999999999</v>
      </c>
      <c r="O131" s="31">
        <v>0</v>
      </c>
      <c r="P131" s="123">
        <v>0</v>
      </c>
    </row>
    <row r="132" spans="1:19" ht="33.75" customHeight="1" thickBot="1">
      <c r="A132" s="40">
        <v>15</v>
      </c>
      <c r="B132" s="338" t="s">
        <v>137</v>
      </c>
      <c r="C132" s="338"/>
      <c r="D132" s="339"/>
      <c r="E132" s="108">
        <v>0</v>
      </c>
      <c r="F132" s="108"/>
      <c r="G132" s="32">
        <f>G133+G134</f>
        <v>3200</v>
      </c>
      <c r="H132" s="13"/>
      <c r="I132" s="13"/>
      <c r="J132" s="13"/>
      <c r="K132" s="83">
        <f t="shared" si="17"/>
        <v>3200</v>
      </c>
      <c r="L132" s="23">
        <f t="shared" si="18"/>
        <v>3200</v>
      </c>
      <c r="M132" s="120">
        <f t="shared" si="19"/>
        <v>-3200</v>
      </c>
      <c r="N132" s="125">
        <f t="shared" si="19"/>
        <v>-3200</v>
      </c>
      <c r="O132" s="26">
        <v>0</v>
      </c>
      <c r="P132" s="27">
        <v>0</v>
      </c>
      <c r="Q132" s="173"/>
      <c r="R132" s="173"/>
      <c r="S132" s="173"/>
    </row>
    <row r="133" spans="1:19" ht="21" customHeight="1" thickBot="1">
      <c r="A133" s="29" t="s">
        <v>187</v>
      </c>
      <c r="B133" s="390" t="s">
        <v>152</v>
      </c>
      <c r="C133" s="391"/>
      <c r="D133" s="392"/>
      <c r="E133" s="112"/>
      <c r="F133" s="108"/>
      <c r="G133" s="13">
        <v>3200</v>
      </c>
      <c r="H133" s="13"/>
      <c r="I133" s="13"/>
      <c r="J133" s="13"/>
      <c r="K133" s="84">
        <f t="shared" si="17"/>
        <v>3200</v>
      </c>
      <c r="L133" s="15">
        <f>0+K133</f>
        <v>3200</v>
      </c>
      <c r="M133" s="119">
        <f t="shared" si="19"/>
        <v>-3200</v>
      </c>
      <c r="N133" s="124">
        <f t="shared" si="19"/>
        <v>-3200</v>
      </c>
      <c r="O133" s="31">
        <v>0</v>
      </c>
      <c r="P133" s="123">
        <v>0</v>
      </c>
      <c r="Q133" s="173"/>
      <c r="R133" s="173"/>
      <c r="S133" s="173"/>
    </row>
    <row r="134" spans="1:19" ht="29.25" customHeight="1" thickBot="1">
      <c r="A134" s="29" t="s">
        <v>188</v>
      </c>
      <c r="B134" s="340" t="s">
        <v>171</v>
      </c>
      <c r="C134" s="341"/>
      <c r="D134" s="342"/>
      <c r="E134" s="112"/>
      <c r="F134" s="108"/>
      <c r="G134" s="13"/>
      <c r="H134" s="13"/>
      <c r="I134" s="13"/>
      <c r="J134" s="13"/>
      <c r="K134" s="84">
        <f t="shared" si="17"/>
        <v>0</v>
      </c>
      <c r="L134" s="15">
        <f t="shared" si="18"/>
        <v>0</v>
      </c>
      <c r="M134" s="119">
        <f t="shared" si="19"/>
        <v>0</v>
      </c>
      <c r="N134" s="124">
        <f t="shared" si="19"/>
        <v>0</v>
      </c>
      <c r="O134" s="31">
        <v>0</v>
      </c>
      <c r="P134" s="123">
        <v>0</v>
      </c>
      <c r="Q134" s="173"/>
      <c r="R134" s="173"/>
      <c r="S134" s="173"/>
    </row>
    <row r="135" spans="1:19" ht="28.5" customHeight="1" thickBot="1">
      <c r="A135" s="41">
        <v>16</v>
      </c>
      <c r="B135" s="338" t="s">
        <v>138</v>
      </c>
      <c r="C135" s="338"/>
      <c r="D135" s="339"/>
      <c r="E135" s="108">
        <v>0</v>
      </c>
      <c r="F135" s="108"/>
      <c r="G135" s="13"/>
      <c r="H135" s="13"/>
      <c r="I135" s="13"/>
      <c r="J135" s="13"/>
      <c r="K135" s="83">
        <f t="shared" si="17"/>
        <v>0</v>
      </c>
      <c r="L135" s="23">
        <f t="shared" si="18"/>
        <v>0</v>
      </c>
      <c r="M135" s="120">
        <f t="shared" si="19"/>
        <v>0</v>
      </c>
      <c r="N135" s="125">
        <f t="shared" si="19"/>
        <v>0</v>
      </c>
      <c r="O135" s="26">
        <v>0</v>
      </c>
      <c r="P135" s="27">
        <v>0</v>
      </c>
      <c r="Q135" s="173"/>
      <c r="R135" s="173"/>
      <c r="S135" s="173"/>
    </row>
    <row r="136" spans="1:19" ht="20.25" customHeight="1" thickBot="1">
      <c r="A136" s="29" t="s">
        <v>189</v>
      </c>
      <c r="B136" s="390" t="s">
        <v>152</v>
      </c>
      <c r="C136" s="391"/>
      <c r="D136" s="392"/>
      <c r="E136" s="112"/>
      <c r="F136" s="108"/>
      <c r="G136" s="13"/>
      <c r="H136" s="13"/>
      <c r="I136" s="13"/>
      <c r="J136" s="13"/>
      <c r="K136" s="84">
        <f t="shared" si="17"/>
        <v>0</v>
      </c>
      <c r="L136" s="15">
        <f t="shared" si="18"/>
        <v>0</v>
      </c>
      <c r="M136" s="119">
        <f t="shared" si="19"/>
        <v>0</v>
      </c>
      <c r="N136" s="124">
        <f t="shared" si="19"/>
        <v>0</v>
      </c>
      <c r="O136" s="31">
        <v>0</v>
      </c>
      <c r="P136" s="123">
        <v>0</v>
      </c>
      <c r="Q136" s="173"/>
      <c r="R136" s="173"/>
      <c r="S136" s="173"/>
    </row>
    <row r="137" spans="1:19" ht="26.25" customHeight="1" thickBot="1">
      <c r="A137" s="29" t="s">
        <v>190</v>
      </c>
      <c r="B137" s="340" t="s">
        <v>171</v>
      </c>
      <c r="C137" s="341"/>
      <c r="D137" s="342"/>
      <c r="E137" s="112"/>
      <c r="F137" s="108"/>
      <c r="G137" s="13"/>
      <c r="H137" s="13"/>
      <c r="I137" s="13"/>
      <c r="J137" s="13"/>
      <c r="K137" s="84">
        <f t="shared" si="17"/>
        <v>0</v>
      </c>
      <c r="L137" s="15">
        <f t="shared" si="18"/>
        <v>0</v>
      </c>
      <c r="M137" s="119">
        <f t="shared" si="19"/>
        <v>0</v>
      </c>
      <c r="N137" s="124">
        <f t="shared" si="19"/>
        <v>0</v>
      </c>
      <c r="O137" s="31">
        <v>0</v>
      </c>
      <c r="P137" s="123">
        <v>0</v>
      </c>
      <c r="Q137" s="173"/>
      <c r="R137" s="173"/>
      <c r="S137" s="173"/>
    </row>
    <row r="138" spans="1:19" ht="44.25" customHeight="1" thickBot="1">
      <c r="A138" s="40">
        <v>17</v>
      </c>
      <c r="B138" s="338" t="s">
        <v>139</v>
      </c>
      <c r="C138" s="338"/>
      <c r="D138" s="339"/>
      <c r="E138" s="114">
        <v>0</v>
      </c>
      <c r="F138" s="114"/>
      <c r="G138" s="32"/>
      <c r="H138" s="32"/>
      <c r="I138" s="32"/>
      <c r="J138" s="32"/>
      <c r="K138" s="83">
        <f t="shared" si="17"/>
        <v>0</v>
      </c>
      <c r="L138" s="23">
        <f t="shared" si="18"/>
        <v>0</v>
      </c>
      <c r="M138" s="120">
        <f t="shared" si="19"/>
        <v>0</v>
      </c>
      <c r="N138" s="125">
        <f t="shared" si="19"/>
        <v>0</v>
      </c>
      <c r="O138" s="26">
        <v>0</v>
      </c>
      <c r="P138" s="27">
        <v>0</v>
      </c>
      <c r="Q138" s="173"/>
      <c r="R138" s="173"/>
      <c r="S138" s="173"/>
    </row>
    <row r="139" spans="1:19" ht="27" customHeight="1" thickBot="1">
      <c r="A139" s="29" t="s">
        <v>191</v>
      </c>
      <c r="B139" s="340" t="s">
        <v>152</v>
      </c>
      <c r="C139" s="341"/>
      <c r="D139" s="342"/>
      <c r="E139" s="112"/>
      <c r="F139" s="108"/>
      <c r="G139" s="13"/>
      <c r="H139" s="13"/>
      <c r="I139" s="13"/>
      <c r="J139" s="13"/>
      <c r="K139" s="84">
        <f t="shared" si="17"/>
        <v>0</v>
      </c>
      <c r="L139" s="15">
        <f t="shared" si="18"/>
        <v>0</v>
      </c>
      <c r="M139" s="119">
        <f t="shared" si="19"/>
        <v>0</v>
      </c>
      <c r="N139" s="124">
        <f t="shared" si="19"/>
        <v>0</v>
      </c>
      <c r="O139" s="31">
        <v>0</v>
      </c>
      <c r="P139" s="123">
        <v>0</v>
      </c>
      <c r="Q139" s="173"/>
      <c r="R139" s="173"/>
      <c r="S139" s="173"/>
    </row>
    <row r="140" spans="1:19" ht="29.25" customHeight="1" thickBot="1">
      <c r="A140" s="29" t="s">
        <v>192</v>
      </c>
      <c r="B140" s="340" t="s">
        <v>171</v>
      </c>
      <c r="C140" s="341"/>
      <c r="D140" s="342"/>
      <c r="E140" s="112"/>
      <c r="F140" s="108"/>
      <c r="G140" s="13"/>
      <c r="H140" s="13"/>
      <c r="I140" s="13"/>
      <c r="J140" s="13"/>
      <c r="K140" s="84">
        <f t="shared" si="17"/>
        <v>0</v>
      </c>
      <c r="L140" s="15">
        <f t="shared" si="18"/>
        <v>0</v>
      </c>
      <c r="M140" s="119">
        <f t="shared" si="19"/>
        <v>0</v>
      </c>
      <c r="N140" s="124">
        <f t="shared" si="19"/>
        <v>0</v>
      </c>
      <c r="O140" s="31">
        <v>0</v>
      </c>
      <c r="P140" s="123">
        <v>0</v>
      </c>
      <c r="Q140" s="173"/>
      <c r="R140" s="173"/>
      <c r="S140" s="173"/>
    </row>
    <row r="141" spans="1:19" ht="22.5" customHeight="1" thickBot="1">
      <c r="A141" s="40">
        <v>18</v>
      </c>
      <c r="B141" s="323" t="s">
        <v>140</v>
      </c>
      <c r="C141" s="323"/>
      <c r="D141" s="324"/>
      <c r="E141" s="108">
        <v>0</v>
      </c>
      <c r="F141" s="108"/>
      <c r="G141" s="13"/>
      <c r="H141" s="13"/>
      <c r="I141" s="13"/>
      <c r="J141" s="32">
        <v>142631.55</v>
      </c>
      <c r="K141" s="83">
        <f>J141</f>
        <v>142631.55</v>
      </c>
      <c r="L141" s="23">
        <f>491195.83+K141</f>
        <v>633827.38</v>
      </c>
      <c r="M141" s="120">
        <f t="shared" si="19"/>
        <v>-142631.55</v>
      </c>
      <c r="N141" s="125">
        <f t="shared" si="19"/>
        <v>-633827.38</v>
      </c>
      <c r="O141" s="26">
        <v>0</v>
      </c>
      <c r="P141" s="27">
        <v>0</v>
      </c>
      <c r="Q141" s="173"/>
      <c r="R141" s="173"/>
      <c r="S141" s="173"/>
    </row>
    <row r="142" spans="1:19" ht="60.75" thickBot="1">
      <c r="A142" s="43"/>
      <c r="B142" s="328" t="s">
        <v>141</v>
      </c>
      <c r="C142" s="328"/>
      <c r="D142" s="328"/>
      <c r="E142" s="328"/>
      <c r="F142" s="208"/>
      <c r="G142" s="208" t="s">
        <v>4</v>
      </c>
      <c r="H142" s="209" t="s">
        <v>5</v>
      </c>
      <c r="I142" s="532" t="s">
        <v>6</v>
      </c>
      <c r="J142" s="533"/>
      <c r="K142" s="176" t="s">
        <v>11</v>
      </c>
      <c r="L142" s="175" t="s">
        <v>8</v>
      </c>
      <c r="M142" s="175" t="s">
        <v>9</v>
      </c>
      <c r="N142" s="210" t="s">
        <v>10</v>
      </c>
      <c r="O142" s="211"/>
      <c r="P142" s="212"/>
      <c r="Q142" s="173"/>
      <c r="R142" s="173"/>
      <c r="S142" s="173"/>
    </row>
    <row r="143" spans="1:19" ht="23.25" customHeight="1" thickBot="1">
      <c r="A143" s="42"/>
      <c r="B143" s="328" t="s">
        <v>12</v>
      </c>
      <c r="C143" s="328"/>
      <c r="D143" s="328"/>
      <c r="E143" s="329"/>
      <c r="F143" s="47"/>
      <c r="G143" s="47">
        <v>0</v>
      </c>
      <c r="H143" s="3">
        <v>0</v>
      </c>
      <c r="I143" s="330">
        <v>0</v>
      </c>
      <c r="J143" s="331"/>
      <c r="K143" s="86"/>
      <c r="L143" s="3">
        <v>0</v>
      </c>
      <c r="M143" s="166">
        <v>0</v>
      </c>
      <c r="N143" s="166">
        <v>0</v>
      </c>
      <c r="O143" s="3"/>
      <c r="P143" s="3">
        <v>0</v>
      </c>
      <c r="Q143" s="173"/>
      <c r="R143" s="173"/>
      <c r="S143" s="173"/>
    </row>
    <row r="144" spans="1:19" ht="27" customHeight="1" thickBot="1">
      <c r="A144" s="43"/>
      <c r="B144" s="328" t="s">
        <v>13</v>
      </c>
      <c r="C144" s="328"/>
      <c r="D144" s="328"/>
      <c r="E144" s="329"/>
      <c r="F144" s="3"/>
      <c r="G144" s="3">
        <f>F10+G17-G32-G36-G40-G45-G55-G65-G68-G72-G75-G79-G89-G102-G133-G136-G139</f>
        <v>34275.98000000004</v>
      </c>
      <c r="H144" s="3">
        <f>G18+H10-H29</f>
        <v>-40918.07999999984</v>
      </c>
      <c r="I144" s="330">
        <f>I10+G19-I104-I66</f>
        <v>3399</v>
      </c>
      <c r="J144" s="331"/>
      <c r="K144" s="86">
        <f>O10+G22-J54</f>
        <v>33637.16</v>
      </c>
      <c r="L144" s="3">
        <f>L10+G23-J141</f>
        <v>114584.41000000003</v>
      </c>
      <c r="M144" s="166">
        <v>0</v>
      </c>
      <c r="N144" s="3">
        <v>0</v>
      </c>
      <c r="O144" s="48"/>
      <c r="P144" s="3">
        <f>SUM(G144:O144)</f>
        <v>144978.47000000023</v>
      </c>
      <c r="Q144" s="173"/>
      <c r="R144" s="173"/>
      <c r="S144" s="18"/>
    </row>
    <row r="145" spans="1:19" ht="24.75" customHeight="1" thickBot="1">
      <c r="A145" s="49"/>
      <c r="B145" s="524" t="s">
        <v>225</v>
      </c>
      <c r="C145" s="524"/>
      <c r="D145" s="524"/>
      <c r="E145" s="525"/>
      <c r="F145" s="346"/>
      <c r="G145" s="346"/>
      <c r="H145" s="346"/>
      <c r="I145" s="346"/>
      <c r="J145" s="346"/>
      <c r="K145" s="346"/>
      <c r="L145" s="346"/>
      <c r="M145" s="346"/>
      <c r="N145" s="347"/>
      <c r="O145" s="348"/>
      <c r="P145" s="50">
        <f>P144</f>
        <v>144978.47000000023</v>
      </c>
      <c r="Q145" s="173"/>
      <c r="R145" s="18">
        <f>P5+L16-L29</f>
        <v>144978.47000000067</v>
      </c>
      <c r="S145" s="18"/>
    </row>
    <row r="146" spans="1:19" ht="15">
      <c r="A146" s="173"/>
      <c r="B146" s="213"/>
      <c r="C146" s="213"/>
      <c r="D146" s="213"/>
      <c r="E146" s="213"/>
      <c r="F146" s="52"/>
      <c r="G146" s="52"/>
      <c r="H146" s="52"/>
      <c r="I146" s="52"/>
      <c r="J146" s="52"/>
      <c r="K146" s="87"/>
      <c r="L146" s="52"/>
      <c r="M146" s="52"/>
      <c r="N146" s="52"/>
      <c r="O146" s="53"/>
      <c r="P146" s="54"/>
      <c r="Q146" s="173"/>
      <c r="R146" s="18"/>
      <c r="S146" s="173"/>
    </row>
    <row r="147" spans="1:19" ht="15">
      <c r="A147" s="173"/>
      <c r="B147" s="343" t="s">
        <v>142</v>
      </c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9" t="s">
        <v>143</v>
      </c>
      <c r="P147" s="349"/>
      <c r="Q147" s="173"/>
      <c r="R147" s="196">
        <f>P5+L16-L29</f>
        <v>144978.47000000067</v>
      </c>
      <c r="S147" s="18">
        <v>365352.1499999948</v>
      </c>
    </row>
    <row r="148" spans="1:19" ht="15">
      <c r="A148" s="173"/>
      <c r="B148" s="343" t="s">
        <v>144</v>
      </c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 t="s">
        <v>145</v>
      </c>
      <c r="P148" s="343"/>
      <c r="Q148" s="173"/>
      <c r="R148" s="173"/>
      <c r="S148" s="173"/>
    </row>
    <row r="149" spans="1:19" ht="15">
      <c r="A149" s="173"/>
      <c r="B149" s="172"/>
      <c r="C149" s="172"/>
      <c r="D149" s="172"/>
      <c r="E149" s="172"/>
      <c r="F149" s="172"/>
      <c r="G149" s="172"/>
      <c r="H149" s="172"/>
      <c r="I149" s="172"/>
      <c r="J149" s="55"/>
      <c r="K149" s="88"/>
      <c r="L149" s="55"/>
      <c r="M149" s="172"/>
      <c r="N149" s="172"/>
      <c r="O149" s="172"/>
      <c r="P149" s="55"/>
      <c r="Q149" s="173"/>
      <c r="R149" s="18"/>
      <c r="S149" s="173"/>
    </row>
    <row r="151" spans="1:19" ht="15">
      <c r="A151" s="173"/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8"/>
      <c r="S151" s="173"/>
    </row>
    <row r="152" spans="1:19" ht="15">
      <c r="A152" s="173"/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8"/>
      <c r="S152" s="173"/>
    </row>
    <row r="153" spans="1:19" ht="15">
      <c r="A153" s="173"/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8"/>
      <c r="O153" s="173"/>
      <c r="P153" s="173"/>
      <c r="Q153" s="173"/>
      <c r="R153" s="173"/>
      <c r="S153" s="173"/>
    </row>
    <row r="154" spans="12:16" ht="15">
      <c r="L154" s="173"/>
      <c r="M154" s="173"/>
      <c r="N154" s="18"/>
      <c r="O154" s="173"/>
      <c r="P154" s="18"/>
    </row>
    <row r="155" spans="12:16" ht="15">
      <c r="L155" s="173"/>
      <c r="M155" s="173"/>
      <c r="N155" s="214"/>
      <c r="O155" s="173"/>
      <c r="P155" s="18"/>
    </row>
    <row r="156" spans="12:16" ht="15">
      <c r="L156" s="18"/>
      <c r="M156" s="173"/>
      <c r="N156" s="173"/>
      <c r="O156" s="173"/>
      <c r="P156" s="173"/>
    </row>
    <row r="157" spans="12:16" ht="15">
      <c r="L157" s="18"/>
      <c r="M157" s="18"/>
      <c r="N157" s="173"/>
      <c r="O157" s="173"/>
      <c r="P157" s="173"/>
    </row>
  </sheetData>
  <sheetProtection/>
  <mergeCells count="198">
    <mergeCell ref="B145:E145"/>
    <mergeCell ref="F145:O145"/>
    <mergeCell ref="B147:E147"/>
    <mergeCell ref="F147:N147"/>
    <mergeCell ref="O147:P147"/>
    <mergeCell ref="B148:E148"/>
    <mergeCell ref="F148:N148"/>
    <mergeCell ref="O148:P148"/>
    <mergeCell ref="B141:D141"/>
    <mergeCell ref="B142:E142"/>
    <mergeCell ref="I142:J142"/>
    <mergeCell ref="B143:E143"/>
    <mergeCell ref="I143:J143"/>
    <mergeCell ref="B144:E144"/>
    <mergeCell ref="I144:J144"/>
    <mergeCell ref="B135:D135"/>
    <mergeCell ref="B136:D136"/>
    <mergeCell ref="B137:D137"/>
    <mergeCell ref="B138:D138"/>
    <mergeCell ref="B139:D139"/>
    <mergeCell ref="B140:D140"/>
    <mergeCell ref="B129:D129"/>
    <mergeCell ref="B130:D130"/>
    <mergeCell ref="B131:D131"/>
    <mergeCell ref="B132:D132"/>
    <mergeCell ref="B133:D133"/>
    <mergeCell ref="B134:D134"/>
    <mergeCell ref="O123:O124"/>
    <mergeCell ref="P123:P124"/>
    <mergeCell ref="B125:D125"/>
    <mergeCell ref="B126:D126"/>
    <mergeCell ref="B127:D127"/>
    <mergeCell ref="B128:D128"/>
    <mergeCell ref="B119:D119"/>
    <mergeCell ref="B120:D120"/>
    <mergeCell ref="B121:P122"/>
    <mergeCell ref="B123:D124"/>
    <mergeCell ref="E123:E124"/>
    <mergeCell ref="F123:F124"/>
    <mergeCell ref="G123:K123"/>
    <mergeCell ref="L123:L124"/>
    <mergeCell ref="M123:M124"/>
    <mergeCell ref="N123:N124"/>
    <mergeCell ref="B113:D113"/>
    <mergeCell ref="B114:D114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  <mergeCell ref="B112:D112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M85:M86"/>
    <mergeCell ref="N85:N86"/>
    <mergeCell ref="O85:O86"/>
    <mergeCell ref="P85:P86"/>
    <mergeCell ref="B87:D87"/>
    <mergeCell ref="B88:D88"/>
    <mergeCell ref="A85:A86"/>
    <mergeCell ref="B85:D86"/>
    <mergeCell ref="E85:E86"/>
    <mergeCell ref="F85:F86"/>
    <mergeCell ref="G85:K85"/>
    <mergeCell ref="L85:L86"/>
    <mergeCell ref="B75:D75"/>
    <mergeCell ref="B76:D76"/>
    <mergeCell ref="B78:D78"/>
    <mergeCell ref="B80:D80"/>
    <mergeCell ref="B81:D81"/>
    <mergeCell ref="A83:A84"/>
    <mergeCell ref="B83:P84"/>
    <mergeCell ref="B68:D68"/>
    <mergeCell ref="B69:D69"/>
    <mergeCell ref="B70:D70"/>
    <mergeCell ref="B71:D71"/>
    <mergeCell ref="B73:D73"/>
    <mergeCell ref="B74:D74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49:D49"/>
    <mergeCell ref="B50:D50"/>
    <mergeCell ref="B51:D51"/>
    <mergeCell ref="B52:D52"/>
    <mergeCell ref="B54:D54"/>
    <mergeCell ref="B55:D55"/>
    <mergeCell ref="B42:D42"/>
    <mergeCell ref="B43:D43"/>
    <mergeCell ref="B44:D44"/>
    <mergeCell ref="B45:D45"/>
    <mergeCell ref="B46:D46"/>
    <mergeCell ref="B48:D48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M26:M27"/>
    <mergeCell ref="N26:N27"/>
    <mergeCell ref="O26:O27"/>
    <mergeCell ref="P26:P27"/>
    <mergeCell ref="B28:D28"/>
    <mergeCell ref="B29:D29"/>
    <mergeCell ref="B23:D23"/>
    <mergeCell ref="G23:J23"/>
    <mergeCell ref="A24:A25"/>
    <mergeCell ref="B24:P25"/>
    <mergeCell ref="A26:A27"/>
    <mergeCell ref="B26:D27"/>
    <mergeCell ref="E26:E27"/>
    <mergeCell ref="F26:F27"/>
    <mergeCell ref="G26:K26"/>
    <mergeCell ref="L26:L27"/>
    <mergeCell ref="B20:D20"/>
    <mergeCell ref="G20:J20"/>
    <mergeCell ref="B21:D21"/>
    <mergeCell ref="G21:J21"/>
    <mergeCell ref="B22:D22"/>
    <mergeCell ref="G22:J22"/>
    <mergeCell ref="B17:D17"/>
    <mergeCell ref="G17:J17"/>
    <mergeCell ref="B18:D18"/>
    <mergeCell ref="G18:J18"/>
    <mergeCell ref="B19:D19"/>
    <mergeCell ref="G19:J19"/>
    <mergeCell ref="P12:P13"/>
    <mergeCell ref="B14:D14"/>
    <mergeCell ref="G14:J14"/>
    <mergeCell ref="A15:A16"/>
    <mergeCell ref="B15:D16"/>
    <mergeCell ref="G15:J15"/>
    <mergeCell ref="G16:J16"/>
    <mergeCell ref="B11:E11"/>
    <mergeCell ref="F11:P11"/>
    <mergeCell ref="A12:A13"/>
    <mergeCell ref="B12:E13"/>
    <mergeCell ref="F12:F13"/>
    <mergeCell ref="G12:K13"/>
    <mergeCell ref="L12:L13"/>
    <mergeCell ref="M12:M13"/>
    <mergeCell ref="N12:N13"/>
    <mergeCell ref="O12:O13"/>
    <mergeCell ref="B10:E10"/>
    <mergeCell ref="F10:G10"/>
    <mergeCell ref="I10:J10"/>
    <mergeCell ref="B6:E6"/>
    <mergeCell ref="F6:O6"/>
    <mergeCell ref="B7:E7"/>
    <mergeCell ref="F7:P7"/>
    <mergeCell ref="B8:E8"/>
    <mergeCell ref="F8:G8"/>
    <mergeCell ref="I8:J8"/>
    <mergeCell ref="B1:P1"/>
    <mergeCell ref="B2:P2"/>
    <mergeCell ref="B3:P3"/>
    <mergeCell ref="B4:P4"/>
    <mergeCell ref="B5:E5"/>
    <mergeCell ref="F5:O5"/>
    <mergeCell ref="B9:E9"/>
    <mergeCell ref="F9:G9"/>
    <mergeCell ref="I9:J9"/>
  </mergeCells>
  <printOptions/>
  <pageMargins left="0.15748031496062992" right="0.17" top="0.23" bottom="0.16" header="0.2" footer="0.15748031496062992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7"/>
  <sheetViews>
    <sheetView zoomScale="90" zoomScaleNormal="90" zoomScalePageLayoutView="0" workbookViewId="0" topLeftCell="A88">
      <selection activeCell="G95" sqref="G95"/>
    </sheetView>
  </sheetViews>
  <sheetFormatPr defaultColWidth="9.140625" defaultRowHeight="15"/>
  <cols>
    <col min="1" max="1" width="4.140625" style="174" customWidth="1"/>
    <col min="2" max="3" width="9.140625" style="174" customWidth="1"/>
    <col min="4" max="4" width="8.7109375" style="174" customWidth="1"/>
    <col min="5" max="6" width="12.421875" style="174" customWidth="1"/>
    <col min="7" max="7" width="13.140625" style="174" customWidth="1"/>
    <col min="8" max="8" width="12.8515625" style="174" customWidth="1"/>
    <col min="9" max="9" width="10.140625" style="174" customWidth="1"/>
    <col min="10" max="10" width="11.421875" style="174" customWidth="1"/>
    <col min="11" max="11" width="12.421875" style="174" customWidth="1"/>
    <col min="12" max="12" width="12.8515625" style="174" customWidth="1"/>
    <col min="13" max="14" width="11.421875" style="174" customWidth="1"/>
    <col min="15" max="15" width="8.421875" style="174" customWidth="1"/>
    <col min="16" max="16" width="10.00390625" style="174" customWidth="1"/>
    <col min="17" max="17" width="9.140625" style="174" customWidth="1"/>
    <col min="18" max="18" width="15.8515625" style="174" customWidth="1"/>
    <col min="19" max="19" width="11.140625" style="174" bestFit="1" customWidth="1"/>
    <col min="20" max="16384" width="9.140625" style="174" customWidth="1"/>
  </cols>
  <sheetData>
    <row r="1" spans="1:16" ht="15">
      <c r="A1" s="173"/>
      <c r="B1" s="485" t="s">
        <v>0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</row>
    <row r="2" spans="1:16" ht="15">
      <c r="A2" s="173"/>
      <c r="B2" s="520" t="s">
        <v>229</v>
      </c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</row>
    <row r="3" spans="1:16" ht="15.75" thickBot="1">
      <c r="A3" s="173"/>
      <c r="B3" s="521" t="s">
        <v>1</v>
      </c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</row>
    <row r="4" spans="1:16" ht="15.75" thickBot="1">
      <c r="A4" s="173"/>
      <c r="B4" s="522" t="s">
        <v>2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</row>
    <row r="5" spans="1:16" ht="15.75" thickBot="1">
      <c r="A5" s="2"/>
      <c r="B5" s="523" t="s">
        <v>193</v>
      </c>
      <c r="C5" s="524"/>
      <c r="D5" s="524"/>
      <c r="E5" s="525"/>
      <c r="F5" s="346"/>
      <c r="G5" s="346"/>
      <c r="H5" s="346"/>
      <c r="I5" s="346"/>
      <c r="J5" s="346"/>
      <c r="K5" s="346"/>
      <c r="L5" s="346"/>
      <c r="M5" s="346"/>
      <c r="N5" s="346"/>
      <c r="O5" s="489"/>
      <c r="P5" s="3">
        <v>365352.15</v>
      </c>
    </row>
    <row r="6" spans="1:16" ht="15.75" thickBot="1">
      <c r="A6" s="2"/>
      <c r="B6" s="523" t="s">
        <v>230</v>
      </c>
      <c r="C6" s="524"/>
      <c r="D6" s="524"/>
      <c r="E6" s="525"/>
      <c r="F6" s="346"/>
      <c r="G6" s="346"/>
      <c r="H6" s="346"/>
      <c r="I6" s="346"/>
      <c r="J6" s="346"/>
      <c r="K6" s="346"/>
      <c r="L6" s="346"/>
      <c r="M6" s="346"/>
      <c r="N6" s="346"/>
      <c r="O6" s="489"/>
      <c r="P6" s="218">
        <f>P10</f>
        <v>144978.47</v>
      </c>
    </row>
    <row r="7" spans="1:16" ht="15.75" thickBot="1">
      <c r="A7" s="2"/>
      <c r="B7" s="526"/>
      <c r="C7" s="527"/>
      <c r="D7" s="527"/>
      <c r="E7" s="528"/>
      <c r="F7" s="529"/>
      <c r="G7" s="529"/>
      <c r="H7" s="529"/>
      <c r="I7" s="529"/>
      <c r="J7" s="529"/>
      <c r="K7" s="529"/>
      <c r="L7" s="529"/>
      <c r="M7" s="529"/>
      <c r="N7" s="530"/>
      <c r="O7" s="530"/>
      <c r="P7" s="531"/>
    </row>
    <row r="8" spans="1:16" ht="75.75" thickBot="1">
      <c r="A8" s="4"/>
      <c r="B8" s="523" t="s">
        <v>3</v>
      </c>
      <c r="C8" s="524"/>
      <c r="D8" s="524"/>
      <c r="E8" s="525"/>
      <c r="F8" s="532" t="s">
        <v>4</v>
      </c>
      <c r="G8" s="533"/>
      <c r="H8" s="175" t="s">
        <v>5</v>
      </c>
      <c r="I8" s="532" t="s">
        <v>6</v>
      </c>
      <c r="J8" s="533"/>
      <c r="K8" s="176" t="s">
        <v>7</v>
      </c>
      <c r="L8" s="175" t="s">
        <v>8</v>
      </c>
      <c r="M8" s="226" t="s">
        <v>9</v>
      </c>
      <c r="N8" s="224" t="s">
        <v>10</v>
      </c>
      <c r="O8" s="178" t="s">
        <v>11</v>
      </c>
      <c r="P8" s="179"/>
    </row>
    <row r="9" spans="1:16" ht="15.75" thickBot="1">
      <c r="A9" s="2"/>
      <c r="B9" s="490" t="s">
        <v>12</v>
      </c>
      <c r="C9" s="491"/>
      <c r="D9" s="491"/>
      <c r="E9" s="492"/>
      <c r="F9" s="330">
        <v>0</v>
      </c>
      <c r="G9" s="331"/>
      <c r="H9" s="3">
        <v>0</v>
      </c>
      <c r="I9" s="330">
        <v>0</v>
      </c>
      <c r="J9" s="331"/>
      <c r="K9" s="78">
        <v>0</v>
      </c>
      <c r="L9" s="3">
        <v>0</v>
      </c>
      <c r="M9" s="217">
        <v>0</v>
      </c>
      <c r="N9" s="3">
        <v>0</v>
      </c>
      <c r="O9" s="75">
        <v>0</v>
      </c>
      <c r="P9" s="218">
        <v>0</v>
      </c>
    </row>
    <row r="10" spans="1:16" ht="25.5" customHeight="1" thickBot="1">
      <c r="A10" s="2"/>
      <c r="B10" s="490" t="s">
        <v>13</v>
      </c>
      <c r="C10" s="491"/>
      <c r="D10" s="491"/>
      <c r="E10" s="492"/>
      <c r="F10" s="330">
        <v>34275.98</v>
      </c>
      <c r="G10" s="331"/>
      <c r="H10" s="3">
        <v>-40918.08</v>
      </c>
      <c r="I10" s="330">
        <v>3399</v>
      </c>
      <c r="J10" s="331"/>
      <c r="K10" s="78">
        <v>0</v>
      </c>
      <c r="L10" s="3">
        <v>114584.41</v>
      </c>
      <c r="M10" s="217">
        <v>0</v>
      </c>
      <c r="N10" s="3">
        <v>0</v>
      </c>
      <c r="O10" s="3">
        <v>33637.16</v>
      </c>
      <c r="P10" s="218">
        <f>SUM(F10:O10)</f>
        <v>144978.47</v>
      </c>
    </row>
    <row r="11" spans="1:16" ht="15.75" thickBot="1">
      <c r="A11" s="220"/>
      <c r="B11" s="546"/>
      <c r="C11" s="547"/>
      <c r="D11" s="547"/>
      <c r="E11" s="547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9"/>
    </row>
    <row r="12" spans="1:16" ht="15">
      <c r="A12" s="446"/>
      <c r="B12" s="550" t="s">
        <v>14</v>
      </c>
      <c r="C12" s="551"/>
      <c r="D12" s="551"/>
      <c r="E12" s="552"/>
      <c r="F12" s="534"/>
      <c r="G12" s="556" t="s">
        <v>15</v>
      </c>
      <c r="H12" s="548"/>
      <c r="I12" s="548"/>
      <c r="J12" s="548"/>
      <c r="K12" s="549"/>
      <c r="L12" s="534" t="s">
        <v>16</v>
      </c>
      <c r="M12" s="534" t="s">
        <v>17</v>
      </c>
      <c r="N12" s="534" t="s">
        <v>18</v>
      </c>
      <c r="O12" s="534" t="s">
        <v>19</v>
      </c>
      <c r="P12" s="534" t="s">
        <v>20</v>
      </c>
    </row>
    <row r="13" spans="1:16" ht="15.75" thickBot="1">
      <c r="A13" s="447"/>
      <c r="B13" s="553"/>
      <c r="C13" s="554"/>
      <c r="D13" s="554"/>
      <c r="E13" s="555"/>
      <c r="F13" s="535"/>
      <c r="G13" s="557"/>
      <c r="H13" s="558"/>
      <c r="I13" s="558"/>
      <c r="J13" s="558"/>
      <c r="K13" s="559"/>
      <c r="L13" s="535"/>
      <c r="M13" s="535"/>
      <c r="N13" s="535"/>
      <c r="O13" s="535"/>
      <c r="P13" s="535"/>
    </row>
    <row r="14" spans="1:16" ht="15.75" thickBot="1">
      <c r="A14" s="2"/>
      <c r="B14" s="536" t="s">
        <v>21</v>
      </c>
      <c r="C14" s="537"/>
      <c r="D14" s="538"/>
      <c r="E14" s="180" t="s">
        <v>22</v>
      </c>
      <c r="F14" s="230">
        <v>3</v>
      </c>
      <c r="G14" s="539">
        <v>4</v>
      </c>
      <c r="H14" s="529"/>
      <c r="I14" s="529"/>
      <c r="J14" s="531"/>
      <c r="K14" s="182">
        <v>5</v>
      </c>
      <c r="L14" s="229">
        <v>6</v>
      </c>
      <c r="M14" s="175">
        <v>7</v>
      </c>
      <c r="N14" s="229">
        <v>8</v>
      </c>
      <c r="O14" s="229">
        <v>9</v>
      </c>
      <c r="P14" s="175">
        <v>10</v>
      </c>
    </row>
    <row r="15" spans="1:16" ht="29.25" thickBot="1">
      <c r="A15" s="446"/>
      <c r="B15" s="540" t="s">
        <v>23</v>
      </c>
      <c r="C15" s="541"/>
      <c r="D15" s="542"/>
      <c r="E15" s="8" t="s">
        <v>24</v>
      </c>
      <c r="F15" s="8" t="s">
        <v>25</v>
      </c>
      <c r="G15" s="471" t="s">
        <v>26</v>
      </c>
      <c r="H15" s="472"/>
      <c r="I15" s="472"/>
      <c r="J15" s="473"/>
      <c r="K15" s="79" t="s">
        <v>27</v>
      </c>
      <c r="L15" s="9" t="s">
        <v>26</v>
      </c>
      <c r="M15" s="10" t="s">
        <v>28</v>
      </c>
      <c r="N15" s="10" t="s">
        <v>26</v>
      </c>
      <c r="O15" s="10" t="s">
        <v>26</v>
      </c>
      <c r="P15" s="11" t="s">
        <v>26</v>
      </c>
    </row>
    <row r="16" spans="1:16" ht="29.25" customHeight="1" thickBot="1">
      <c r="A16" s="447"/>
      <c r="B16" s="543"/>
      <c r="C16" s="544"/>
      <c r="D16" s="545"/>
      <c r="E16" s="109">
        <f>SUM(E17:E23)</f>
        <v>1510544</v>
      </c>
      <c r="F16" s="110">
        <f>SUM(F17:F23)</f>
        <v>7815097</v>
      </c>
      <c r="G16" s="474">
        <f>G17+G18+G19+G20+G21+G22+G23</f>
        <v>1874659.2200000002</v>
      </c>
      <c r="H16" s="475"/>
      <c r="I16" s="475"/>
      <c r="J16" s="476"/>
      <c r="K16" s="223">
        <f>SUM(K17:K23)</f>
        <v>1874659.2200000002</v>
      </c>
      <c r="L16" s="223">
        <f>SUM(L17:L23)</f>
        <v>8537249.870000001</v>
      </c>
      <c r="M16" s="223">
        <f>SUM(M17:M23)</f>
        <v>-364115.22</v>
      </c>
      <c r="N16" s="223">
        <f>SUM(N17:N23)</f>
        <v>-722152.8700000003</v>
      </c>
      <c r="O16" s="12">
        <v>0</v>
      </c>
      <c r="P16" s="12">
        <v>0</v>
      </c>
    </row>
    <row r="17" spans="1:18" ht="48.75" customHeight="1" thickBot="1">
      <c r="A17" s="184" t="s">
        <v>195</v>
      </c>
      <c r="B17" s="497" t="s">
        <v>146</v>
      </c>
      <c r="C17" s="498"/>
      <c r="D17" s="499"/>
      <c r="E17" s="108">
        <v>865719</v>
      </c>
      <c r="F17" s="108">
        <f>3713756+E17</f>
        <v>4579475</v>
      </c>
      <c r="G17" s="450">
        <v>965655.52</v>
      </c>
      <c r="H17" s="451"/>
      <c r="I17" s="451"/>
      <c r="J17" s="452"/>
      <c r="K17" s="222">
        <f aca="true" t="shared" si="0" ref="K17:K22">G17</f>
        <v>965655.52</v>
      </c>
      <c r="L17" s="15">
        <f>3314987.13+K17</f>
        <v>4280642.65</v>
      </c>
      <c r="M17" s="119">
        <f>E17-K17</f>
        <v>-99936.52000000002</v>
      </c>
      <c r="N17" s="124">
        <f>F17-L17</f>
        <v>298832.3499999996</v>
      </c>
      <c r="O17" s="16">
        <v>0</v>
      </c>
      <c r="P17" s="16">
        <v>0</v>
      </c>
      <c r="Q17" s="173"/>
      <c r="R17" s="18">
        <v>365352.1499999948</v>
      </c>
    </row>
    <row r="18" spans="1:18" ht="43.5" customHeight="1" thickBot="1">
      <c r="A18" s="185" t="s">
        <v>196</v>
      </c>
      <c r="B18" s="566" t="s">
        <v>216</v>
      </c>
      <c r="C18" s="567"/>
      <c r="D18" s="568"/>
      <c r="E18" s="104">
        <v>637525</v>
      </c>
      <c r="F18" s="108">
        <f>2550097+E18</f>
        <v>3187622</v>
      </c>
      <c r="G18" s="450">
        <v>757380</v>
      </c>
      <c r="H18" s="451"/>
      <c r="I18" s="451"/>
      <c r="J18" s="452"/>
      <c r="K18" s="222">
        <f t="shared" si="0"/>
        <v>757380</v>
      </c>
      <c r="L18" s="15">
        <f>2593452+K18</f>
        <v>3350832</v>
      </c>
      <c r="M18" s="119">
        <f>E18-K18</f>
        <v>-119855</v>
      </c>
      <c r="N18" s="124">
        <f aca="true" t="shared" si="1" ref="M18:N23">F18-L18</f>
        <v>-163210</v>
      </c>
      <c r="O18" s="16">
        <v>0</v>
      </c>
      <c r="P18" s="16">
        <v>0</v>
      </c>
      <c r="Q18" s="173"/>
      <c r="R18" s="173"/>
    </row>
    <row r="19" spans="1:18" ht="32.25" customHeight="1" thickBot="1">
      <c r="A19" s="185" t="s">
        <v>197</v>
      </c>
      <c r="B19" s="569" t="s">
        <v>149</v>
      </c>
      <c r="C19" s="570"/>
      <c r="D19" s="571"/>
      <c r="E19" s="186"/>
      <c r="F19" s="108">
        <f>0+E19</f>
        <v>0</v>
      </c>
      <c r="G19" s="450"/>
      <c r="H19" s="451"/>
      <c r="I19" s="451"/>
      <c r="J19" s="452"/>
      <c r="K19" s="222">
        <f t="shared" si="0"/>
        <v>0</v>
      </c>
      <c r="L19" s="15">
        <f>117320+K19</f>
        <v>117320</v>
      </c>
      <c r="M19" s="119">
        <f t="shared" si="1"/>
        <v>0</v>
      </c>
      <c r="N19" s="124">
        <f t="shared" si="1"/>
        <v>-117320</v>
      </c>
      <c r="O19" s="16">
        <v>0</v>
      </c>
      <c r="P19" s="17">
        <v>0</v>
      </c>
      <c r="Q19" s="173"/>
      <c r="R19" s="173"/>
    </row>
    <row r="20" spans="1:18" ht="57.75" customHeight="1" thickBot="1">
      <c r="A20" s="187" t="s">
        <v>198</v>
      </c>
      <c r="B20" s="560" t="s">
        <v>147</v>
      </c>
      <c r="C20" s="561"/>
      <c r="D20" s="562"/>
      <c r="E20" s="188"/>
      <c r="F20" s="108">
        <f>0+E20</f>
        <v>0</v>
      </c>
      <c r="G20" s="450"/>
      <c r="H20" s="451"/>
      <c r="I20" s="451"/>
      <c r="J20" s="452"/>
      <c r="K20" s="222">
        <f t="shared" si="0"/>
        <v>0</v>
      </c>
      <c r="L20" s="15">
        <f>0+K20</f>
        <v>0</v>
      </c>
      <c r="M20" s="119">
        <f t="shared" si="1"/>
        <v>0</v>
      </c>
      <c r="N20" s="124">
        <f t="shared" si="1"/>
        <v>0</v>
      </c>
      <c r="O20" s="16">
        <v>0</v>
      </c>
      <c r="P20" s="16">
        <v>0</v>
      </c>
      <c r="Q20" s="18"/>
      <c r="R20" s="18"/>
    </row>
    <row r="21" spans="1:18" ht="34.5" customHeight="1" thickBot="1">
      <c r="A21" s="189" t="s">
        <v>199</v>
      </c>
      <c r="B21" s="563" t="s">
        <v>148</v>
      </c>
      <c r="C21" s="564"/>
      <c r="D21" s="565"/>
      <c r="E21" s="190"/>
      <c r="F21" s="108">
        <f>0+E21</f>
        <v>0</v>
      </c>
      <c r="G21" s="450"/>
      <c r="H21" s="451"/>
      <c r="I21" s="451"/>
      <c r="J21" s="452"/>
      <c r="K21" s="222">
        <f t="shared" si="0"/>
        <v>0</v>
      </c>
      <c r="L21" s="15">
        <f>0+K21</f>
        <v>0</v>
      </c>
      <c r="M21" s="119">
        <f t="shared" si="1"/>
        <v>0</v>
      </c>
      <c r="N21" s="124">
        <f t="shared" si="1"/>
        <v>0</v>
      </c>
      <c r="O21" s="16">
        <v>0</v>
      </c>
      <c r="P21" s="16">
        <v>0</v>
      </c>
      <c r="Q21" s="18"/>
      <c r="R21" s="173"/>
    </row>
    <row r="22" spans="1:18" ht="42" customHeight="1" thickBot="1">
      <c r="A22" s="189" t="s">
        <v>200</v>
      </c>
      <c r="B22" s="497" t="s">
        <v>201</v>
      </c>
      <c r="C22" s="498"/>
      <c r="D22" s="499"/>
      <c r="E22" s="82">
        <v>7300</v>
      </c>
      <c r="F22" s="108">
        <f>40700+E22</f>
        <v>48000</v>
      </c>
      <c r="G22" s="450">
        <v>5959.33</v>
      </c>
      <c r="H22" s="451"/>
      <c r="I22" s="451"/>
      <c r="J22" s="452"/>
      <c r="K22" s="222">
        <f t="shared" si="0"/>
        <v>5959.33</v>
      </c>
      <c r="L22" s="15">
        <f>45626.83+K22</f>
        <v>51586.16</v>
      </c>
      <c r="M22" s="119">
        <f>E22-K22</f>
        <v>1340.67</v>
      </c>
      <c r="N22" s="124">
        <f t="shared" si="1"/>
        <v>-3586.1600000000035</v>
      </c>
      <c r="O22" s="16">
        <v>0</v>
      </c>
      <c r="P22" s="16">
        <v>0</v>
      </c>
      <c r="Q22" s="173"/>
      <c r="R22" s="173"/>
    </row>
    <row r="23" spans="1:18" ht="54" customHeight="1" thickBot="1">
      <c r="A23" s="189" t="s">
        <v>202</v>
      </c>
      <c r="B23" s="572" t="s">
        <v>140</v>
      </c>
      <c r="C23" s="573"/>
      <c r="D23" s="574"/>
      <c r="E23" s="14"/>
      <c r="F23" s="108"/>
      <c r="G23" s="439">
        <v>145664.37</v>
      </c>
      <c r="H23" s="440"/>
      <c r="I23" s="440"/>
      <c r="J23" s="441"/>
      <c r="K23" s="222">
        <f>G23</f>
        <v>145664.37</v>
      </c>
      <c r="L23" s="15">
        <f>591204.69+K23</f>
        <v>736869.0599999999</v>
      </c>
      <c r="M23" s="119">
        <f t="shared" si="1"/>
        <v>-145664.37</v>
      </c>
      <c r="N23" s="124">
        <f t="shared" si="1"/>
        <v>-736869.0599999999</v>
      </c>
      <c r="O23" s="16">
        <v>0</v>
      </c>
      <c r="P23" s="16">
        <v>0</v>
      </c>
      <c r="Q23" s="173"/>
      <c r="R23" s="173"/>
    </row>
    <row r="24" spans="1:18" ht="15">
      <c r="A24" s="446"/>
      <c r="B24" s="575" t="s">
        <v>30</v>
      </c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7"/>
      <c r="Q24" s="173"/>
      <c r="R24" s="173"/>
    </row>
    <row r="25" spans="1:18" ht="15.75" thickBot="1">
      <c r="A25" s="447"/>
      <c r="B25" s="578"/>
      <c r="C25" s="579"/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579"/>
      <c r="P25" s="580"/>
      <c r="Q25" s="173"/>
      <c r="R25" s="173"/>
    </row>
    <row r="26" spans="1:18" ht="15.75" thickBot="1">
      <c r="A26" s="446"/>
      <c r="B26" s="550" t="s">
        <v>14</v>
      </c>
      <c r="C26" s="551"/>
      <c r="D26" s="552"/>
      <c r="E26" s="581" t="s">
        <v>24</v>
      </c>
      <c r="F26" s="583" t="s">
        <v>25</v>
      </c>
      <c r="G26" s="532" t="s">
        <v>31</v>
      </c>
      <c r="H26" s="522"/>
      <c r="I26" s="522"/>
      <c r="J26" s="522"/>
      <c r="K26" s="533"/>
      <c r="L26" s="534" t="s">
        <v>16</v>
      </c>
      <c r="M26" s="534" t="s">
        <v>17</v>
      </c>
      <c r="N26" s="534" t="s">
        <v>18</v>
      </c>
      <c r="O26" s="534" t="s">
        <v>19</v>
      </c>
      <c r="P26" s="534" t="s">
        <v>20</v>
      </c>
      <c r="Q26" s="173"/>
      <c r="R26" s="173"/>
    </row>
    <row r="27" spans="1:18" ht="93" customHeight="1" thickBot="1">
      <c r="A27" s="447"/>
      <c r="B27" s="553"/>
      <c r="C27" s="554"/>
      <c r="D27" s="555"/>
      <c r="E27" s="582"/>
      <c r="F27" s="584"/>
      <c r="G27" s="225" t="s">
        <v>32</v>
      </c>
      <c r="H27" s="225" t="s">
        <v>33</v>
      </c>
      <c r="I27" s="225" t="s">
        <v>34</v>
      </c>
      <c r="J27" s="175" t="s">
        <v>220</v>
      </c>
      <c r="K27" s="176" t="s">
        <v>27</v>
      </c>
      <c r="L27" s="535"/>
      <c r="M27" s="535"/>
      <c r="N27" s="535"/>
      <c r="O27" s="535"/>
      <c r="P27" s="535"/>
      <c r="Q27" s="173"/>
      <c r="R27" s="18">
        <v>365352.1499999948</v>
      </c>
    </row>
    <row r="28" spans="1:18" ht="20.25" customHeight="1" thickBot="1">
      <c r="A28" s="2"/>
      <c r="B28" s="536">
        <v>1</v>
      </c>
      <c r="C28" s="537"/>
      <c r="D28" s="538"/>
      <c r="E28" s="180" t="s">
        <v>22</v>
      </c>
      <c r="F28" s="225">
        <v>3</v>
      </c>
      <c r="G28" s="225">
        <v>4</v>
      </c>
      <c r="H28" s="225">
        <v>5</v>
      </c>
      <c r="I28" s="175">
        <v>6</v>
      </c>
      <c r="J28" s="175">
        <v>7</v>
      </c>
      <c r="K28" s="192">
        <v>8</v>
      </c>
      <c r="L28" s="229">
        <v>9</v>
      </c>
      <c r="M28" s="175">
        <v>10</v>
      </c>
      <c r="N28" s="229">
        <v>11</v>
      </c>
      <c r="O28" s="175">
        <v>12</v>
      </c>
      <c r="P28" s="229">
        <v>13</v>
      </c>
      <c r="Q28" s="173"/>
      <c r="R28" s="173"/>
    </row>
    <row r="29" spans="1:18" ht="15.75" thickBot="1">
      <c r="A29" s="2"/>
      <c r="B29" s="539" t="s">
        <v>23</v>
      </c>
      <c r="C29" s="529"/>
      <c r="D29" s="531"/>
      <c r="E29" s="76">
        <f>E30+E34+E38+E44+E51+E54+E64+E67+E71+E74+E78+E80+E88+E101+E132+E135+E138+E141</f>
        <v>1510544</v>
      </c>
      <c r="F29" s="76">
        <f aca="true" t="shared" si="2" ref="F29:N29">F30+F34+F38+F44+F51+F54+F64+F67+F71+F74+F78+F80+F88+F101+F132+F135+F138+F141</f>
        <v>7815097</v>
      </c>
      <c r="G29" s="76">
        <f>G30+G34+G38+G44+G51+G54+G64+G67+G71+G74+G78+G80+G88+G101+G132+G135+G138+G141</f>
        <v>955330.5900000001</v>
      </c>
      <c r="H29" s="76">
        <f>H30+H34+H38+H44+H51+H54+H64+H67+H71+H74+H78+H80+H88+H101+H132+H135+H138+H141</f>
        <v>11607.2</v>
      </c>
      <c r="I29" s="76">
        <f t="shared" si="2"/>
        <v>250</v>
      </c>
      <c r="J29" s="76">
        <f>J30+J34+J38+J44+J51+J54+J64+J67+J71+J74+J78+J80+J88+J101+J132+J135+J138+J141</f>
        <v>210351.42</v>
      </c>
      <c r="K29" s="76">
        <f t="shared" si="2"/>
        <v>1162710.55</v>
      </c>
      <c r="L29" s="76">
        <f t="shared" si="2"/>
        <v>8060503.54</v>
      </c>
      <c r="M29" s="76">
        <f t="shared" si="2"/>
        <v>347833.44999999995</v>
      </c>
      <c r="N29" s="76">
        <f t="shared" si="2"/>
        <v>-245406.54000000015</v>
      </c>
      <c r="O29" s="21">
        <v>0</v>
      </c>
      <c r="P29" s="21">
        <v>0</v>
      </c>
      <c r="Q29" s="173"/>
      <c r="R29" s="18"/>
    </row>
    <row r="30" spans="1:18" ht="21.75" customHeight="1" thickBot="1">
      <c r="A30" s="22" t="s">
        <v>21</v>
      </c>
      <c r="B30" s="426" t="s">
        <v>36</v>
      </c>
      <c r="C30" s="338"/>
      <c r="D30" s="339"/>
      <c r="E30" s="111">
        <f>SUM(E31:E32)</f>
        <v>837719</v>
      </c>
      <c r="F30" s="81">
        <f>F31+F32+F33</f>
        <v>3916615</v>
      </c>
      <c r="G30" s="20">
        <f>G31+G32+G33</f>
        <v>185000</v>
      </c>
      <c r="H30" s="20">
        <f>H31</f>
        <v>11607.2</v>
      </c>
      <c r="I30" s="20"/>
      <c r="J30" s="20"/>
      <c r="K30" s="81">
        <f>G30+H30</f>
        <v>196607.2</v>
      </c>
      <c r="L30" s="23">
        <f>L31+L32</f>
        <v>3293359.37</v>
      </c>
      <c r="M30" s="120">
        <f>E30-K30</f>
        <v>641111.8</v>
      </c>
      <c r="N30" s="122">
        <f>F30-L30</f>
        <v>623255.6299999999</v>
      </c>
      <c r="O30" s="26">
        <v>0</v>
      </c>
      <c r="P30" s="27">
        <v>0</v>
      </c>
      <c r="Q30" s="18"/>
      <c r="R30" s="18"/>
    </row>
    <row r="31" spans="1:18" ht="15.75" thickBot="1">
      <c r="A31" s="29" t="s">
        <v>150</v>
      </c>
      <c r="B31" s="430" t="s">
        <v>151</v>
      </c>
      <c r="C31" s="431"/>
      <c r="D31" s="432"/>
      <c r="E31" s="112">
        <v>519779</v>
      </c>
      <c r="F31" s="108">
        <f>2079116+E31</f>
        <v>2598895</v>
      </c>
      <c r="G31" s="33"/>
      <c r="H31" s="33">
        <v>11607.2</v>
      </c>
      <c r="I31" s="33"/>
      <c r="J31" s="33"/>
      <c r="K31" s="82">
        <f>H31</f>
        <v>11607.2</v>
      </c>
      <c r="L31" s="15">
        <f>2076223.25+K31</f>
        <v>2087830.45</v>
      </c>
      <c r="M31" s="119">
        <f>E31-K31</f>
        <v>508171.8</v>
      </c>
      <c r="N31" s="121">
        <f>F31-L31</f>
        <v>511064.55000000005</v>
      </c>
      <c r="O31" s="31">
        <v>0</v>
      </c>
      <c r="P31" s="123">
        <v>0</v>
      </c>
      <c r="Q31" s="18"/>
      <c r="R31" s="18"/>
    </row>
    <row r="32" spans="1:18" ht="15.75" thickBot="1">
      <c r="A32" s="29" t="s">
        <v>153</v>
      </c>
      <c r="B32" s="340" t="s">
        <v>152</v>
      </c>
      <c r="C32" s="341"/>
      <c r="D32" s="342"/>
      <c r="E32" s="112">
        <v>317940</v>
      </c>
      <c r="F32" s="108">
        <f>999780+E32</f>
        <v>1317720</v>
      </c>
      <c r="G32" s="33">
        <v>185000</v>
      </c>
      <c r="H32" s="33"/>
      <c r="I32" s="33"/>
      <c r="J32" s="33"/>
      <c r="K32" s="15">
        <f>0+G32</f>
        <v>185000</v>
      </c>
      <c r="L32" s="15">
        <f>1020528.92+K32</f>
        <v>1205528.92</v>
      </c>
      <c r="M32" s="119">
        <f>E32-K32</f>
        <v>132940</v>
      </c>
      <c r="N32" s="121">
        <f>F32-L32</f>
        <v>112191.08000000007</v>
      </c>
      <c r="O32" s="31">
        <v>0</v>
      </c>
      <c r="P32" s="123">
        <v>0</v>
      </c>
      <c r="Q32" s="18"/>
      <c r="R32" s="18"/>
    </row>
    <row r="33" spans="1:18" ht="15.75" thickBot="1">
      <c r="A33" s="29" t="s">
        <v>155</v>
      </c>
      <c r="B33" s="340" t="s">
        <v>154</v>
      </c>
      <c r="C33" s="341"/>
      <c r="D33" s="342"/>
      <c r="E33" s="95"/>
      <c r="F33" s="15"/>
      <c r="G33" s="33"/>
      <c r="H33" s="33"/>
      <c r="I33" s="33"/>
      <c r="J33" s="33"/>
      <c r="K33" s="82"/>
      <c r="L33" s="15"/>
      <c r="M33" s="193"/>
      <c r="N33" s="194"/>
      <c r="O33" s="31"/>
      <c r="P33" s="123"/>
      <c r="Q33" s="18"/>
      <c r="R33" s="18"/>
    </row>
    <row r="34" spans="1:18" ht="27.75" customHeight="1" thickBot="1">
      <c r="A34" s="128" t="s">
        <v>22</v>
      </c>
      <c r="B34" s="395" t="s">
        <v>37</v>
      </c>
      <c r="C34" s="396"/>
      <c r="D34" s="397"/>
      <c r="E34" s="81">
        <f>SUM(E35:E37)</f>
        <v>169220</v>
      </c>
      <c r="F34" s="81">
        <f>F35+F36+F37</f>
        <v>791156</v>
      </c>
      <c r="G34" s="20">
        <f>G35+G36+G37</f>
        <v>0</v>
      </c>
      <c r="H34" s="20">
        <f>H35</f>
        <v>0</v>
      </c>
      <c r="I34" s="20"/>
      <c r="J34" s="20"/>
      <c r="K34" s="81">
        <f>G34+H34</f>
        <v>0</v>
      </c>
      <c r="L34" s="23">
        <f>L35+L36</f>
        <v>622486.99</v>
      </c>
      <c r="M34" s="120">
        <f aca="true" t="shared" si="3" ref="M34:N36">E34-K34</f>
        <v>169220</v>
      </c>
      <c r="N34" s="125">
        <f t="shared" si="3"/>
        <v>168669.01</v>
      </c>
      <c r="O34" s="26">
        <v>0</v>
      </c>
      <c r="P34" s="27">
        <v>0</v>
      </c>
      <c r="Q34" s="173"/>
      <c r="R34" s="173"/>
    </row>
    <row r="35" spans="1:18" ht="15.75" thickBot="1">
      <c r="A35" s="29" t="s">
        <v>156</v>
      </c>
      <c r="B35" s="430" t="s">
        <v>151</v>
      </c>
      <c r="C35" s="431"/>
      <c r="D35" s="432"/>
      <c r="E35" s="82">
        <v>104996</v>
      </c>
      <c r="F35" s="108">
        <f>419980+E35</f>
        <v>524976</v>
      </c>
      <c r="G35" s="33"/>
      <c r="H35" s="33"/>
      <c r="I35" s="33"/>
      <c r="J35" s="33"/>
      <c r="K35" s="82">
        <f>H35</f>
        <v>0</v>
      </c>
      <c r="L35" s="15">
        <f>405140.83+K35</f>
        <v>405140.83</v>
      </c>
      <c r="M35" s="119">
        <f t="shared" si="3"/>
        <v>104996</v>
      </c>
      <c r="N35" s="121">
        <f t="shared" si="3"/>
        <v>119835.16999999998</v>
      </c>
      <c r="O35" s="31">
        <v>0</v>
      </c>
      <c r="P35" s="123">
        <v>0</v>
      </c>
      <c r="Q35" s="173"/>
      <c r="R35" s="173"/>
    </row>
    <row r="36" spans="1:18" ht="15.75" thickBot="1">
      <c r="A36" s="29" t="s">
        <v>157</v>
      </c>
      <c r="B36" s="340" t="s">
        <v>152</v>
      </c>
      <c r="C36" s="341"/>
      <c r="D36" s="342"/>
      <c r="E36" s="82">
        <v>64224</v>
      </c>
      <c r="F36" s="108">
        <f>201956+E36</f>
        <v>266180</v>
      </c>
      <c r="G36" s="33"/>
      <c r="H36" s="33"/>
      <c r="I36" s="33"/>
      <c r="J36" s="33"/>
      <c r="K36" s="82">
        <f>G36</f>
        <v>0</v>
      </c>
      <c r="L36" s="15">
        <f>217346.16+K36</f>
        <v>217346.16</v>
      </c>
      <c r="M36" s="119">
        <f t="shared" si="3"/>
        <v>64224</v>
      </c>
      <c r="N36" s="121">
        <f t="shared" si="3"/>
        <v>48833.84</v>
      </c>
      <c r="O36" s="31">
        <v>0</v>
      </c>
      <c r="P36" s="123">
        <v>0</v>
      </c>
      <c r="Q36" s="173"/>
      <c r="R36" s="173"/>
    </row>
    <row r="37" spans="1:18" ht="15.75" thickBot="1">
      <c r="A37" s="29" t="s">
        <v>158</v>
      </c>
      <c r="B37" s="340" t="s">
        <v>154</v>
      </c>
      <c r="C37" s="341"/>
      <c r="D37" s="342"/>
      <c r="E37" s="82"/>
      <c r="F37" s="108"/>
      <c r="G37" s="33"/>
      <c r="H37" s="33"/>
      <c r="I37" s="33"/>
      <c r="J37" s="33"/>
      <c r="K37" s="82"/>
      <c r="L37" s="15"/>
      <c r="M37" s="193"/>
      <c r="N37" s="195"/>
      <c r="O37" s="31"/>
      <c r="P37" s="123"/>
      <c r="Q37" s="173"/>
      <c r="R37" s="173"/>
    </row>
    <row r="38" spans="1:18" ht="24.75" customHeight="1" thickBot="1">
      <c r="A38" s="22" t="s">
        <v>38</v>
      </c>
      <c r="B38" s="395" t="s">
        <v>39</v>
      </c>
      <c r="C38" s="396"/>
      <c r="D38" s="397"/>
      <c r="E38" s="81">
        <f>SUM(E41:E43)</f>
        <v>4500</v>
      </c>
      <c r="F38" s="114">
        <f>F41+F42+F43</f>
        <v>25500</v>
      </c>
      <c r="G38" s="20">
        <f>G40</f>
        <v>4844.5599999999995</v>
      </c>
      <c r="H38" s="20"/>
      <c r="I38" s="20"/>
      <c r="J38" s="20"/>
      <c r="K38" s="23">
        <f>K39+K40</f>
        <v>4844.5599999999995</v>
      </c>
      <c r="L38" s="23">
        <f>17384.98+K38</f>
        <v>22229.54</v>
      </c>
      <c r="M38" s="120">
        <f>E38-K38</f>
        <v>-344.5599999999995</v>
      </c>
      <c r="N38" s="122">
        <f>F38-L38</f>
        <v>3270.459999999999</v>
      </c>
      <c r="O38" s="26">
        <v>0</v>
      </c>
      <c r="P38" s="27">
        <v>0</v>
      </c>
      <c r="Q38" s="173"/>
      <c r="R38" s="173"/>
    </row>
    <row r="39" spans="1:18" ht="15.75" thickBot="1">
      <c r="A39" s="29" t="s">
        <v>159</v>
      </c>
      <c r="B39" s="430" t="s">
        <v>151</v>
      </c>
      <c r="C39" s="431"/>
      <c r="D39" s="432"/>
      <c r="E39" s="15"/>
      <c r="F39" s="108"/>
      <c r="G39" s="33"/>
      <c r="H39" s="33"/>
      <c r="I39" s="33"/>
      <c r="J39" s="33"/>
      <c r="K39" s="82"/>
      <c r="L39" s="15"/>
      <c r="M39" s="193"/>
      <c r="N39" s="195"/>
      <c r="O39" s="31"/>
      <c r="P39" s="123"/>
      <c r="Q39" s="173"/>
      <c r="R39" s="173"/>
    </row>
    <row r="40" spans="1:18" ht="15.75" thickBot="1">
      <c r="A40" s="29" t="s">
        <v>160</v>
      </c>
      <c r="B40" s="340" t="s">
        <v>152</v>
      </c>
      <c r="C40" s="341"/>
      <c r="D40" s="342"/>
      <c r="E40" s="82">
        <v>4500</v>
      </c>
      <c r="F40" s="108">
        <f>21000+E40</f>
        <v>25500</v>
      </c>
      <c r="G40" s="33">
        <f>G41+G42</f>
        <v>4844.5599999999995</v>
      </c>
      <c r="H40" s="33"/>
      <c r="I40" s="33"/>
      <c r="J40" s="33"/>
      <c r="K40" s="15">
        <f>0+G40</f>
        <v>4844.5599999999995</v>
      </c>
      <c r="L40" s="15">
        <f>L41+L42+L43</f>
        <v>22229.54</v>
      </c>
      <c r="M40" s="119">
        <f aca="true" t="shared" si="4" ref="M40:N55">E40-K40</f>
        <v>-344.5599999999995</v>
      </c>
      <c r="N40" s="121">
        <f t="shared" si="4"/>
        <v>3270.459999999999</v>
      </c>
      <c r="O40" s="31">
        <v>0</v>
      </c>
      <c r="P40" s="123">
        <v>0</v>
      </c>
      <c r="Q40" s="173"/>
      <c r="R40" s="173"/>
    </row>
    <row r="41" spans="1:18" ht="15.75" thickBot="1">
      <c r="A41" s="29" t="s">
        <v>40</v>
      </c>
      <c r="B41" s="427" t="s">
        <v>41</v>
      </c>
      <c r="C41" s="428"/>
      <c r="D41" s="429"/>
      <c r="E41" s="108">
        <v>2281</v>
      </c>
      <c r="F41" s="108">
        <f>9124+E41</f>
        <v>11405</v>
      </c>
      <c r="G41" s="33">
        <v>2625.56</v>
      </c>
      <c r="H41" s="33"/>
      <c r="I41" s="33"/>
      <c r="J41" s="33"/>
      <c r="K41" s="15">
        <f>0+G41</f>
        <v>2625.56</v>
      </c>
      <c r="L41" s="15">
        <f>8508.98+K41</f>
        <v>11134.539999999999</v>
      </c>
      <c r="M41" s="119">
        <f t="shared" si="4"/>
        <v>-344.55999999999995</v>
      </c>
      <c r="N41" s="121">
        <f t="shared" si="4"/>
        <v>270.46000000000095</v>
      </c>
      <c r="O41" s="31">
        <v>0</v>
      </c>
      <c r="P41" s="123">
        <v>0</v>
      </c>
      <c r="Q41" s="173"/>
      <c r="R41" s="173"/>
    </row>
    <row r="42" spans="1:18" ht="15.75" thickBot="1">
      <c r="A42" s="29" t="s">
        <v>42</v>
      </c>
      <c r="B42" s="427" t="s">
        <v>43</v>
      </c>
      <c r="C42" s="428"/>
      <c r="D42" s="429"/>
      <c r="E42" s="108">
        <v>2219</v>
      </c>
      <c r="F42" s="108">
        <f>8876+E42</f>
        <v>11095</v>
      </c>
      <c r="G42" s="33">
        <v>2219</v>
      </c>
      <c r="H42" s="33"/>
      <c r="I42" s="33"/>
      <c r="J42" s="33"/>
      <c r="K42" s="15">
        <f>0+G42</f>
        <v>2219</v>
      </c>
      <c r="L42" s="15">
        <f>8876+K42</f>
        <v>11095</v>
      </c>
      <c r="M42" s="119">
        <f t="shared" si="4"/>
        <v>0</v>
      </c>
      <c r="N42" s="121">
        <f t="shared" si="4"/>
        <v>0</v>
      </c>
      <c r="O42" s="31">
        <v>0</v>
      </c>
      <c r="P42" s="123">
        <v>0</v>
      </c>
      <c r="Q42" s="173"/>
      <c r="R42" s="173"/>
    </row>
    <row r="43" spans="1:18" ht="15.75" thickBot="1">
      <c r="A43" s="29" t="s">
        <v>44</v>
      </c>
      <c r="B43" s="427" t="s">
        <v>45</v>
      </c>
      <c r="C43" s="428"/>
      <c r="D43" s="429"/>
      <c r="E43" s="108"/>
      <c r="F43" s="108">
        <f>3000+E43</f>
        <v>3000</v>
      </c>
      <c r="G43" s="13"/>
      <c r="H43" s="13"/>
      <c r="I43" s="13"/>
      <c r="J43" s="33"/>
      <c r="K43" s="15">
        <f>0+J43</f>
        <v>0</v>
      </c>
      <c r="L43" s="15">
        <f>0+K43</f>
        <v>0</v>
      </c>
      <c r="M43" s="119">
        <f t="shared" si="4"/>
        <v>0</v>
      </c>
      <c r="N43" s="121">
        <f t="shared" si="4"/>
        <v>3000</v>
      </c>
      <c r="O43" s="31">
        <v>0</v>
      </c>
      <c r="P43" s="123">
        <v>0</v>
      </c>
      <c r="Q43" s="173"/>
      <c r="R43" s="18"/>
    </row>
    <row r="44" spans="1:18" ht="36" customHeight="1" thickBot="1">
      <c r="A44" s="22" t="s">
        <v>46</v>
      </c>
      <c r="B44" s="395" t="s">
        <v>47</v>
      </c>
      <c r="C44" s="396"/>
      <c r="D44" s="397"/>
      <c r="E44" s="81">
        <f>SUM(E47:E49)</f>
        <v>210000</v>
      </c>
      <c r="F44" s="114">
        <f>815200+E44</f>
        <v>1025200</v>
      </c>
      <c r="G44" s="23">
        <f>G45+G46+G47</f>
        <v>244773.5</v>
      </c>
      <c r="H44" s="32"/>
      <c r="I44" s="32"/>
      <c r="J44" s="20"/>
      <c r="K44" s="23">
        <f>K45+K46+K47</f>
        <v>244773.5</v>
      </c>
      <c r="L44" s="23">
        <f>738335+K44</f>
        <v>983108.5</v>
      </c>
      <c r="M44" s="120">
        <f t="shared" si="4"/>
        <v>-34773.5</v>
      </c>
      <c r="N44" s="122">
        <f t="shared" si="4"/>
        <v>42091.5</v>
      </c>
      <c r="O44" s="26">
        <v>0</v>
      </c>
      <c r="P44" s="27">
        <v>0</v>
      </c>
      <c r="Q44" s="173"/>
      <c r="R44" s="173"/>
    </row>
    <row r="45" spans="1:18" ht="26.25" customHeight="1" thickBot="1">
      <c r="A45" s="29" t="s">
        <v>161</v>
      </c>
      <c r="B45" s="340" t="s">
        <v>152</v>
      </c>
      <c r="C45" s="341"/>
      <c r="D45" s="342"/>
      <c r="E45" s="249">
        <f>E48+E49</f>
        <v>210000</v>
      </c>
      <c r="F45" s="108">
        <f>815200+E45</f>
        <v>1025200</v>
      </c>
      <c r="G45" s="15">
        <f>G48+G49</f>
        <v>244773.5</v>
      </c>
      <c r="H45" s="13"/>
      <c r="I45" s="13"/>
      <c r="J45" s="33"/>
      <c r="K45" s="15">
        <f>0+G45</f>
        <v>244773.5</v>
      </c>
      <c r="L45" s="15">
        <f>L48+L49</f>
        <v>983108.5</v>
      </c>
      <c r="M45" s="119">
        <f t="shared" si="4"/>
        <v>-34773.5</v>
      </c>
      <c r="N45" s="124">
        <f t="shared" si="4"/>
        <v>42091.5</v>
      </c>
      <c r="O45" s="31">
        <v>0</v>
      </c>
      <c r="P45" s="123">
        <v>0</v>
      </c>
      <c r="Q45" s="173"/>
      <c r="R45" s="173"/>
    </row>
    <row r="46" spans="1:18" ht="21.75" customHeight="1" thickBot="1">
      <c r="A46" s="29" t="s">
        <v>162</v>
      </c>
      <c r="B46" s="430" t="s">
        <v>151</v>
      </c>
      <c r="C46" s="431"/>
      <c r="D46" s="432"/>
      <c r="E46" s="94"/>
      <c r="F46" s="108"/>
      <c r="G46" s="15"/>
      <c r="H46" s="13"/>
      <c r="I46" s="13"/>
      <c r="J46" s="33"/>
      <c r="K46" s="15">
        <f aca="true" t="shared" si="5" ref="K46:K53">0+G46</f>
        <v>0</v>
      </c>
      <c r="L46" s="15">
        <f aca="true" t="shared" si="6" ref="L46:L61">0+K46</f>
        <v>0</v>
      </c>
      <c r="M46" s="119">
        <f t="shared" si="4"/>
        <v>0</v>
      </c>
      <c r="N46" s="121">
        <f t="shared" si="4"/>
        <v>0</v>
      </c>
      <c r="O46" s="31">
        <v>0</v>
      </c>
      <c r="P46" s="123">
        <v>0</v>
      </c>
      <c r="Q46" s="173"/>
      <c r="R46" s="173"/>
    </row>
    <row r="47" spans="1:18" ht="25.5" customHeight="1" thickBot="1">
      <c r="A47" s="29" t="s">
        <v>163</v>
      </c>
      <c r="B47" s="96" t="s">
        <v>154</v>
      </c>
      <c r="C47" s="97"/>
      <c r="D47" s="97"/>
      <c r="E47" s="126"/>
      <c r="F47" s="108"/>
      <c r="G47" s="15"/>
      <c r="H47" s="13"/>
      <c r="I47" s="13"/>
      <c r="J47" s="33"/>
      <c r="K47" s="15">
        <f t="shared" si="5"/>
        <v>0</v>
      </c>
      <c r="L47" s="15">
        <f t="shared" si="6"/>
        <v>0</v>
      </c>
      <c r="M47" s="119">
        <f t="shared" si="4"/>
        <v>0</v>
      </c>
      <c r="N47" s="121">
        <f t="shared" si="4"/>
        <v>0</v>
      </c>
      <c r="O47" s="31">
        <v>0</v>
      </c>
      <c r="P47" s="123">
        <v>0</v>
      </c>
      <c r="Q47" s="173"/>
      <c r="R47" s="196"/>
    </row>
    <row r="48" spans="1:18" ht="15.75" thickBot="1">
      <c r="A48" s="29" t="s">
        <v>48</v>
      </c>
      <c r="B48" s="359" t="s">
        <v>49</v>
      </c>
      <c r="C48" s="360"/>
      <c r="D48" s="361"/>
      <c r="E48" s="108">
        <v>210000</v>
      </c>
      <c r="F48" s="108">
        <f>790000+E48</f>
        <v>1000000</v>
      </c>
      <c r="G48" s="13">
        <v>242816</v>
      </c>
      <c r="H48" s="13"/>
      <c r="I48" s="13"/>
      <c r="J48" s="33"/>
      <c r="K48" s="15">
        <f t="shared" si="5"/>
        <v>242816</v>
      </c>
      <c r="L48" s="15">
        <f>728688+K48</f>
        <v>971504</v>
      </c>
      <c r="M48" s="119">
        <f t="shared" si="4"/>
        <v>-32816</v>
      </c>
      <c r="N48" s="121">
        <f t="shared" si="4"/>
        <v>28496</v>
      </c>
      <c r="O48" s="31">
        <v>0</v>
      </c>
      <c r="P48" s="123">
        <v>0</v>
      </c>
      <c r="Q48" s="173"/>
      <c r="R48" s="18"/>
    </row>
    <row r="49" spans="1:18" ht="17.25" customHeight="1" thickBot="1">
      <c r="A49" s="29" t="s">
        <v>50</v>
      </c>
      <c r="B49" s="359" t="s">
        <v>51</v>
      </c>
      <c r="C49" s="360"/>
      <c r="D49" s="361"/>
      <c r="E49" s="108">
        <v>0</v>
      </c>
      <c r="F49" s="108">
        <f>25200+E49</f>
        <v>25200</v>
      </c>
      <c r="G49" s="13">
        <v>1957.5</v>
      </c>
      <c r="H49" s="13"/>
      <c r="I49" s="13"/>
      <c r="J49" s="33"/>
      <c r="K49" s="15">
        <f t="shared" si="5"/>
        <v>1957.5</v>
      </c>
      <c r="L49" s="15">
        <f>9647+K49</f>
        <v>11604.5</v>
      </c>
      <c r="M49" s="119">
        <f t="shared" si="4"/>
        <v>-1957.5</v>
      </c>
      <c r="N49" s="121">
        <f t="shared" si="4"/>
        <v>13595.5</v>
      </c>
      <c r="O49" s="31">
        <v>0</v>
      </c>
      <c r="P49" s="123">
        <v>0</v>
      </c>
      <c r="Q49" s="173"/>
      <c r="R49" s="173"/>
    </row>
    <row r="50" spans="1:18" ht="17.25" customHeight="1" thickBot="1">
      <c r="A50" s="29" t="s">
        <v>52</v>
      </c>
      <c r="B50" s="359" t="s">
        <v>53</v>
      </c>
      <c r="C50" s="360"/>
      <c r="D50" s="361"/>
      <c r="E50" s="13">
        <v>0</v>
      </c>
      <c r="F50" s="108">
        <f>0+E50</f>
        <v>0</v>
      </c>
      <c r="G50" s="13"/>
      <c r="H50" s="13"/>
      <c r="I50" s="13"/>
      <c r="J50" s="33"/>
      <c r="K50" s="15">
        <f t="shared" si="5"/>
        <v>0</v>
      </c>
      <c r="L50" s="15">
        <f t="shared" si="6"/>
        <v>0</v>
      </c>
      <c r="M50" s="119">
        <f t="shared" si="4"/>
        <v>0</v>
      </c>
      <c r="N50" s="121">
        <f t="shared" si="4"/>
        <v>0</v>
      </c>
      <c r="O50" s="31">
        <v>0</v>
      </c>
      <c r="P50" s="123">
        <v>0</v>
      </c>
      <c r="Q50" s="173"/>
      <c r="R50" s="173"/>
    </row>
    <row r="51" spans="1:18" ht="33" customHeight="1" thickBot="1">
      <c r="A51" s="22" t="s">
        <v>54</v>
      </c>
      <c r="B51" s="425" t="s">
        <v>55</v>
      </c>
      <c r="C51" s="323"/>
      <c r="D51" s="324"/>
      <c r="E51" s="23">
        <v>0</v>
      </c>
      <c r="F51" s="23">
        <v>0</v>
      </c>
      <c r="G51" s="23"/>
      <c r="H51" s="23"/>
      <c r="I51" s="23"/>
      <c r="J51" s="20"/>
      <c r="K51" s="23">
        <f t="shared" si="5"/>
        <v>0</v>
      </c>
      <c r="L51" s="23">
        <f t="shared" si="6"/>
        <v>0</v>
      </c>
      <c r="M51" s="120">
        <f t="shared" si="4"/>
        <v>0</v>
      </c>
      <c r="N51" s="122">
        <f t="shared" si="4"/>
        <v>0</v>
      </c>
      <c r="O51" s="26">
        <v>0</v>
      </c>
      <c r="P51" s="27">
        <v>0</v>
      </c>
      <c r="Q51" s="173"/>
      <c r="R51" s="173"/>
    </row>
    <row r="52" spans="1:18" ht="18.75" customHeight="1" thickBot="1">
      <c r="A52" s="29" t="s">
        <v>164</v>
      </c>
      <c r="B52" s="340" t="s">
        <v>152</v>
      </c>
      <c r="C52" s="341"/>
      <c r="D52" s="342"/>
      <c r="E52" s="15"/>
      <c r="F52" s="15"/>
      <c r="G52" s="15"/>
      <c r="H52" s="15"/>
      <c r="I52" s="15"/>
      <c r="J52" s="33"/>
      <c r="K52" s="15">
        <f t="shared" si="5"/>
        <v>0</v>
      </c>
      <c r="L52" s="15">
        <f t="shared" si="6"/>
        <v>0</v>
      </c>
      <c r="M52" s="119">
        <f t="shared" si="4"/>
        <v>0</v>
      </c>
      <c r="N52" s="121">
        <f t="shared" si="4"/>
        <v>0</v>
      </c>
      <c r="O52" s="31">
        <v>0</v>
      </c>
      <c r="P52" s="123">
        <v>0</v>
      </c>
      <c r="Q52" s="173"/>
      <c r="R52" s="173"/>
    </row>
    <row r="53" spans="1:18" ht="18" customHeight="1" thickBot="1">
      <c r="A53" s="29" t="s">
        <v>165</v>
      </c>
      <c r="B53" s="96" t="s">
        <v>154</v>
      </c>
      <c r="C53" s="97"/>
      <c r="D53" s="97"/>
      <c r="E53" s="15"/>
      <c r="F53" s="15"/>
      <c r="G53" s="15"/>
      <c r="H53" s="15"/>
      <c r="I53" s="15"/>
      <c r="J53" s="33"/>
      <c r="K53" s="15">
        <f t="shared" si="5"/>
        <v>0</v>
      </c>
      <c r="L53" s="15">
        <f t="shared" si="6"/>
        <v>0</v>
      </c>
      <c r="M53" s="119">
        <f t="shared" si="4"/>
        <v>0</v>
      </c>
      <c r="N53" s="121">
        <f t="shared" si="4"/>
        <v>0</v>
      </c>
      <c r="O53" s="31">
        <v>0</v>
      </c>
      <c r="P53" s="123">
        <v>0</v>
      </c>
      <c r="Q53" s="173"/>
      <c r="R53" s="173"/>
    </row>
    <row r="54" spans="1:18" ht="29.25" customHeight="1" thickBot="1">
      <c r="A54" s="22" t="s">
        <v>56</v>
      </c>
      <c r="B54" s="395" t="s">
        <v>57</v>
      </c>
      <c r="C54" s="396"/>
      <c r="D54" s="397"/>
      <c r="E54" s="81">
        <f>SUM(E59:E63)</f>
        <v>76300</v>
      </c>
      <c r="F54" s="114">
        <f>F55+F58</f>
        <v>1064400</v>
      </c>
      <c r="G54" s="23">
        <f>G55+G56+G57+G58</f>
        <v>105288.73</v>
      </c>
      <c r="H54" s="23"/>
      <c r="I54" s="23"/>
      <c r="J54" s="23">
        <f>J55+J56+J57+J58</f>
        <v>14828.66</v>
      </c>
      <c r="K54" s="23">
        <f>K55+K56+K57</f>
        <v>105288.73</v>
      </c>
      <c r="L54" s="23">
        <f>L55+L56+L57+L58</f>
        <v>1194785.51</v>
      </c>
      <c r="M54" s="120">
        <f t="shared" si="4"/>
        <v>-28988.729999999996</v>
      </c>
      <c r="N54" s="125">
        <f t="shared" si="4"/>
        <v>-130385.51000000001</v>
      </c>
      <c r="O54" s="26">
        <v>0</v>
      </c>
      <c r="P54" s="27">
        <v>0</v>
      </c>
      <c r="Q54" s="173"/>
      <c r="R54" s="18">
        <f>F59+F60+F62+F63-F58</f>
        <v>1016400</v>
      </c>
    </row>
    <row r="55" spans="1:18" ht="18.75" customHeight="1" thickBot="1">
      <c r="A55" s="29" t="s">
        <v>166</v>
      </c>
      <c r="B55" s="390" t="s">
        <v>152</v>
      </c>
      <c r="C55" s="391"/>
      <c r="D55" s="392"/>
      <c r="E55" s="113">
        <f>E59+E60+E62+E63-E58</f>
        <v>69000</v>
      </c>
      <c r="F55" s="108">
        <f>947400+E55</f>
        <v>1016400</v>
      </c>
      <c r="G55" s="15">
        <f>G59+G60+G62+G63</f>
        <v>105288.73</v>
      </c>
      <c r="H55" s="15"/>
      <c r="I55" s="15"/>
      <c r="J55" s="15"/>
      <c r="K55" s="15">
        <f>0+G55</f>
        <v>105288.73</v>
      </c>
      <c r="L55" s="15">
        <f>1027686.33+K55</f>
        <v>1132975.06</v>
      </c>
      <c r="M55" s="119">
        <f t="shared" si="4"/>
        <v>-36288.729999999996</v>
      </c>
      <c r="N55" s="121">
        <f t="shared" si="4"/>
        <v>-116575.06000000006</v>
      </c>
      <c r="O55" s="31">
        <v>0</v>
      </c>
      <c r="P55" s="123">
        <v>0</v>
      </c>
      <c r="Q55" s="173"/>
      <c r="R55" s="18"/>
    </row>
    <row r="56" spans="1:18" ht="27.75" customHeight="1" thickBot="1">
      <c r="A56" s="29" t="s">
        <v>167</v>
      </c>
      <c r="B56" s="430" t="s">
        <v>168</v>
      </c>
      <c r="C56" s="431"/>
      <c r="D56" s="432"/>
      <c r="E56" s="112"/>
      <c r="F56" s="108"/>
      <c r="G56" s="15"/>
      <c r="H56" s="15"/>
      <c r="I56" s="15"/>
      <c r="J56" s="15"/>
      <c r="K56" s="15">
        <f aca="true" t="shared" si="7" ref="K56:K61">0+G56</f>
        <v>0</v>
      </c>
      <c r="L56" s="15">
        <f t="shared" si="6"/>
        <v>0</v>
      </c>
      <c r="M56" s="119">
        <f aca="true" t="shared" si="8" ref="M56:N71">E56-K56</f>
        <v>0</v>
      </c>
      <c r="N56" s="121">
        <f t="shared" si="8"/>
        <v>0</v>
      </c>
      <c r="O56" s="31">
        <v>0</v>
      </c>
      <c r="P56" s="123">
        <v>0</v>
      </c>
      <c r="Q56" s="173"/>
      <c r="R56" s="18"/>
    </row>
    <row r="57" spans="1:18" ht="21" customHeight="1" thickBot="1">
      <c r="A57" s="29" t="s">
        <v>203</v>
      </c>
      <c r="B57" s="503" t="s">
        <v>154</v>
      </c>
      <c r="C57" s="504"/>
      <c r="D57" s="504"/>
      <c r="E57" s="127"/>
      <c r="F57" s="108"/>
      <c r="G57" s="15"/>
      <c r="H57" s="15"/>
      <c r="I57" s="15"/>
      <c r="J57" s="15"/>
      <c r="K57" s="15">
        <f t="shared" si="7"/>
        <v>0</v>
      </c>
      <c r="L57" s="15">
        <f t="shared" si="6"/>
        <v>0</v>
      </c>
      <c r="M57" s="119">
        <f t="shared" si="8"/>
        <v>0</v>
      </c>
      <c r="N57" s="121">
        <f t="shared" si="8"/>
        <v>0</v>
      </c>
      <c r="O57" s="31">
        <v>0</v>
      </c>
      <c r="P57" s="123">
        <v>0</v>
      </c>
      <c r="Q57" s="173"/>
      <c r="R57" s="18">
        <f>L59+L60+L61+L62+L63</f>
        <v>1194785.5099999998</v>
      </c>
    </row>
    <row r="58" spans="1:18" ht="20.25" customHeight="1" thickBot="1">
      <c r="A58" s="29" t="s">
        <v>204</v>
      </c>
      <c r="B58" s="497" t="s">
        <v>201</v>
      </c>
      <c r="C58" s="498"/>
      <c r="D58" s="499"/>
      <c r="E58" s="112">
        <v>7300</v>
      </c>
      <c r="F58" s="108">
        <f>40700+E58</f>
        <v>48000</v>
      </c>
      <c r="G58" s="15"/>
      <c r="H58" s="15"/>
      <c r="I58" s="15"/>
      <c r="J58" s="15">
        <f>J62+J63+J59</f>
        <v>14828.66</v>
      </c>
      <c r="K58" s="15">
        <f>0+J58</f>
        <v>14828.66</v>
      </c>
      <c r="L58" s="15">
        <f>46981.79+K58</f>
        <v>61810.45</v>
      </c>
      <c r="M58" s="119">
        <f t="shared" si="8"/>
        <v>-7528.66</v>
      </c>
      <c r="N58" s="121">
        <f t="shared" si="8"/>
        <v>-13810.449999999997</v>
      </c>
      <c r="O58" s="31">
        <v>0</v>
      </c>
      <c r="P58" s="123">
        <v>0</v>
      </c>
      <c r="Q58" s="173"/>
      <c r="R58" s="18"/>
    </row>
    <row r="59" spans="1:18" ht="18.75" customHeight="1" thickBot="1">
      <c r="A59" s="29" t="s">
        <v>58</v>
      </c>
      <c r="B59" s="419" t="s">
        <v>59</v>
      </c>
      <c r="C59" s="420"/>
      <c r="D59" s="421"/>
      <c r="E59" s="108">
        <v>40000</v>
      </c>
      <c r="F59" s="108">
        <f>225000+E59</f>
        <v>265000</v>
      </c>
      <c r="G59" s="13"/>
      <c r="H59" s="13"/>
      <c r="I59" s="13"/>
      <c r="J59" s="15">
        <v>14828.66</v>
      </c>
      <c r="K59" s="15">
        <f>J59+G59</f>
        <v>14828.66</v>
      </c>
      <c r="L59" s="15">
        <f>232676.25+K59</f>
        <v>247504.91</v>
      </c>
      <c r="M59" s="119">
        <f t="shared" si="8"/>
        <v>25171.34</v>
      </c>
      <c r="N59" s="121">
        <f t="shared" si="8"/>
        <v>17495.089999999997</v>
      </c>
      <c r="O59" s="31">
        <v>0</v>
      </c>
      <c r="P59" s="123">
        <v>0</v>
      </c>
      <c r="Q59" s="173"/>
      <c r="R59" s="196"/>
    </row>
    <row r="60" spans="1:18" ht="20.25" customHeight="1" thickBot="1">
      <c r="A60" s="29" t="s">
        <v>60</v>
      </c>
      <c r="B60" s="387" t="s">
        <v>61</v>
      </c>
      <c r="C60" s="388"/>
      <c r="D60" s="388"/>
      <c r="E60" s="108">
        <v>25000</v>
      </c>
      <c r="F60" s="108">
        <f>727000+E60</f>
        <v>752000</v>
      </c>
      <c r="G60" s="13">
        <v>95158.98</v>
      </c>
      <c r="H60" s="13"/>
      <c r="I60" s="13"/>
      <c r="J60" s="15"/>
      <c r="K60" s="15">
        <f t="shared" si="7"/>
        <v>95158.98</v>
      </c>
      <c r="L60" s="15">
        <f>809590.97+K60</f>
        <v>904749.95</v>
      </c>
      <c r="M60" s="119">
        <f t="shared" si="8"/>
        <v>-70158.98</v>
      </c>
      <c r="N60" s="121">
        <f t="shared" si="8"/>
        <v>-152749.94999999995</v>
      </c>
      <c r="O60" s="31">
        <v>0</v>
      </c>
      <c r="P60" s="123">
        <v>0</v>
      </c>
      <c r="Q60" s="173"/>
      <c r="R60" s="18"/>
    </row>
    <row r="61" spans="1:18" ht="20.25" customHeight="1" thickBot="1">
      <c r="A61" s="29" t="s">
        <v>60</v>
      </c>
      <c r="B61" s="422" t="s">
        <v>205</v>
      </c>
      <c r="C61" s="423"/>
      <c r="D61" s="424"/>
      <c r="E61" s="108"/>
      <c r="F61" s="108"/>
      <c r="G61" s="13"/>
      <c r="H61" s="13"/>
      <c r="I61" s="13"/>
      <c r="J61" s="15"/>
      <c r="K61" s="15">
        <f t="shared" si="7"/>
        <v>0</v>
      </c>
      <c r="L61" s="15">
        <f t="shared" si="6"/>
        <v>0</v>
      </c>
      <c r="M61" s="119">
        <f t="shared" si="8"/>
        <v>0</v>
      </c>
      <c r="N61" s="121">
        <f t="shared" si="8"/>
        <v>0</v>
      </c>
      <c r="O61" s="31">
        <v>0</v>
      </c>
      <c r="P61" s="123">
        <v>0</v>
      </c>
      <c r="Q61" s="173"/>
      <c r="R61" s="173"/>
    </row>
    <row r="62" spans="1:18" ht="18.75" customHeight="1" thickBot="1">
      <c r="A62" s="29" t="s">
        <v>62</v>
      </c>
      <c r="B62" s="387" t="s">
        <v>63</v>
      </c>
      <c r="C62" s="388"/>
      <c r="D62" s="389"/>
      <c r="E62" s="108">
        <v>6000</v>
      </c>
      <c r="F62" s="108">
        <f>19100+E62</f>
        <v>25100</v>
      </c>
      <c r="G62" s="215">
        <v>6439.3</v>
      </c>
      <c r="H62" s="60"/>
      <c r="I62" s="13"/>
      <c r="J62" s="13"/>
      <c r="K62" s="15">
        <f>0+J62+G62</f>
        <v>6439.3</v>
      </c>
      <c r="L62" s="15">
        <f>17343.87+K62</f>
        <v>23783.17</v>
      </c>
      <c r="M62" s="119">
        <f t="shared" si="8"/>
        <v>-439.3000000000002</v>
      </c>
      <c r="N62" s="121">
        <f t="shared" si="8"/>
        <v>1316.8300000000017</v>
      </c>
      <c r="O62" s="31">
        <v>0</v>
      </c>
      <c r="P62" s="123">
        <v>0</v>
      </c>
      <c r="Q62" s="173"/>
      <c r="R62" s="173"/>
    </row>
    <row r="63" spans="1:18" ht="18" customHeight="1" thickBot="1">
      <c r="A63" s="29" t="s">
        <v>64</v>
      </c>
      <c r="B63" s="387" t="s">
        <v>65</v>
      </c>
      <c r="C63" s="388"/>
      <c r="D63" s="389"/>
      <c r="E63" s="108">
        <v>5300</v>
      </c>
      <c r="F63" s="108">
        <f>17000+E63</f>
        <v>22300</v>
      </c>
      <c r="G63" s="216">
        <v>3690.45</v>
      </c>
      <c r="H63" s="13"/>
      <c r="I63" s="13"/>
      <c r="J63" s="13"/>
      <c r="K63" s="15">
        <f>0+J63+G63</f>
        <v>3690.45</v>
      </c>
      <c r="L63" s="15">
        <f>15057.03+K63</f>
        <v>18747.48</v>
      </c>
      <c r="M63" s="119">
        <f t="shared" si="8"/>
        <v>1609.5500000000002</v>
      </c>
      <c r="N63" s="121">
        <f t="shared" si="8"/>
        <v>3552.5200000000004</v>
      </c>
      <c r="O63" s="31">
        <v>0</v>
      </c>
      <c r="P63" s="123">
        <v>0</v>
      </c>
      <c r="Q63" s="173"/>
      <c r="R63" s="173"/>
    </row>
    <row r="64" spans="1:18" ht="35.25" customHeight="1" thickBot="1">
      <c r="A64" s="56" t="s">
        <v>66</v>
      </c>
      <c r="B64" s="585" t="s">
        <v>228</v>
      </c>
      <c r="C64" s="586"/>
      <c r="D64" s="587"/>
      <c r="E64" s="81">
        <f>E65</f>
        <v>0</v>
      </c>
      <c r="F64" s="114">
        <f>F65+F66</f>
        <v>277000</v>
      </c>
      <c r="G64" s="32">
        <f>G65+G66</f>
        <v>250000</v>
      </c>
      <c r="H64" s="23"/>
      <c r="I64" s="23">
        <f>I66</f>
        <v>0</v>
      </c>
      <c r="J64" s="23">
        <f>J65+J66</f>
        <v>0</v>
      </c>
      <c r="K64" s="23">
        <f>K65+K66</f>
        <v>250000</v>
      </c>
      <c r="L64" s="23">
        <f>L65+L66</f>
        <v>292888</v>
      </c>
      <c r="M64" s="120">
        <f t="shared" si="8"/>
        <v>-250000</v>
      </c>
      <c r="N64" s="125">
        <f t="shared" si="8"/>
        <v>-15888</v>
      </c>
      <c r="O64" s="26">
        <v>0</v>
      </c>
      <c r="P64" s="27">
        <v>0</v>
      </c>
      <c r="Q64" s="173"/>
      <c r="R64" s="173"/>
    </row>
    <row r="65" spans="1:18" ht="15.75" thickBot="1">
      <c r="A65" s="29" t="s">
        <v>207</v>
      </c>
      <c r="B65" s="390" t="s">
        <v>152</v>
      </c>
      <c r="C65" s="391"/>
      <c r="D65" s="392"/>
      <c r="E65" s="82">
        <v>0</v>
      </c>
      <c r="F65" s="108">
        <f>277000+E65</f>
        <v>277000</v>
      </c>
      <c r="G65" s="13">
        <v>250000</v>
      </c>
      <c r="H65" s="15"/>
      <c r="I65" s="15"/>
      <c r="J65" s="15"/>
      <c r="K65" s="15">
        <f>0+G65</f>
        <v>250000</v>
      </c>
      <c r="L65" s="15">
        <f>26088+K65</f>
        <v>276088</v>
      </c>
      <c r="M65" s="119">
        <f t="shared" si="8"/>
        <v>-250000</v>
      </c>
      <c r="N65" s="124">
        <f t="shared" si="8"/>
        <v>912</v>
      </c>
      <c r="O65" s="31">
        <v>0</v>
      </c>
      <c r="P65" s="123">
        <v>0</v>
      </c>
      <c r="Q65" s="173"/>
      <c r="R65" s="173"/>
    </row>
    <row r="66" spans="1:18" ht="26.25" customHeight="1" thickBot="1">
      <c r="A66" s="29" t="s">
        <v>208</v>
      </c>
      <c r="B66" s="340" t="s">
        <v>171</v>
      </c>
      <c r="C66" s="341"/>
      <c r="D66" s="342"/>
      <c r="E66" s="82"/>
      <c r="F66" s="108"/>
      <c r="G66" s="13"/>
      <c r="H66" s="15"/>
      <c r="I66" s="15"/>
      <c r="J66" s="15"/>
      <c r="K66" s="15">
        <f>0+I66</f>
        <v>0</v>
      </c>
      <c r="L66" s="15">
        <f>16800+K66</f>
        <v>16800</v>
      </c>
      <c r="M66" s="119">
        <f t="shared" si="8"/>
        <v>0</v>
      </c>
      <c r="N66" s="124">
        <f t="shared" si="8"/>
        <v>-16800</v>
      </c>
      <c r="O66" s="31">
        <v>0</v>
      </c>
      <c r="P66" s="123">
        <v>0</v>
      </c>
      <c r="Q66" s="173"/>
      <c r="R66" s="173"/>
    </row>
    <row r="67" spans="1:18" ht="39.75" customHeight="1" thickBot="1">
      <c r="A67" s="128" t="s">
        <v>67</v>
      </c>
      <c r="B67" s="588" t="s">
        <v>226</v>
      </c>
      <c r="C67" s="589"/>
      <c r="D67" s="590"/>
      <c r="E67" s="81">
        <v>0</v>
      </c>
      <c r="F67" s="114">
        <f>15000+E67</f>
        <v>15000</v>
      </c>
      <c r="G67" s="32">
        <f>G68+G69</f>
        <v>24980</v>
      </c>
      <c r="H67" s="23"/>
      <c r="I67" s="23"/>
      <c r="J67" s="23"/>
      <c r="K67" s="23">
        <f>K68+K69+K70</f>
        <v>24980</v>
      </c>
      <c r="L67" s="23">
        <f>1090+K67</f>
        <v>26070</v>
      </c>
      <c r="M67" s="120">
        <f t="shared" si="8"/>
        <v>-24980</v>
      </c>
      <c r="N67" s="125">
        <f t="shared" si="8"/>
        <v>-11070</v>
      </c>
      <c r="O67" s="26">
        <v>0</v>
      </c>
      <c r="P67" s="27">
        <v>0</v>
      </c>
      <c r="Q67" s="173"/>
      <c r="R67" s="18"/>
    </row>
    <row r="68" spans="1:18" ht="15.75" thickBot="1">
      <c r="A68" s="29" t="s">
        <v>169</v>
      </c>
      <c r="B68" s="390" t="s">
        <v>152</v>
      </c>
      <c r="C68" s="391"/>
      <c r="D68" s="392"/>
      <c r="E68" s="112"/>
      <c r="F68" s="108">
        <f>15000+E68</f>
        <v>15000</v>
      </c>
      <c r="G68" s="13">
        <v>24980</v>
      </c>
      <c r="H68" s="15"/>
      <c r="I68" s="15"/>
      <c r="J68" s="15"/>
      <c r="K68" s="15">
        <f>G68</f>
        <v>24980</v>
      </c>
      <c r="L68" s="15">
        <f>1090+K68</f>
        <v>26070</v>
      </c>
      <c r="M68" s="119">
        <f t="shared" si="8"/>
        <v>-24980</v>
      </c>
      <c r="N68" s="124">
        <f t="shared" si="8"/>
        <v>-11070</v>
      </c>
      <c r="O68" s="31">
        <v>0</v>
      </c>
      <c r="P68" s="123">
        <v>0</v>
      </c>
      <c r="Q68" s="173"/>
      <c r="R68" s="18"/>
    </row>
    <row r="69" spans="1:18" ht="25.5" customHeight="1" thickBot="1">
      <c r="A69" s="29" t="s">
        <v>170</v>
      </c>
      <c r="B69" s="340" t="s">
        <v>171</v>
      </c>
      <c r="C69" s="341"/>
      <c r="D69" s="342"/>
      <c r="E69" s="112"/>
      <c r="F69" s="108"/>
      <c r="G69" s="13"/>
      <c r="H69" s="15"/>
      <c r="I69" s="15"/>
      <c r="J69" s="15"/>
      <c r="K69" s="15">
        <f>G69</f>
        <v>0</v>
      </c>
      <c r="L69" s="15">
        <f>0+K69</f>
        <v>0</v>
      </c>
      <c r="M69" s="119">
        <f t="shared" si="8"/>
        <v>0</v>
      </c>
      <c r="N69" s="124">
        <f t="shared" si="8"/>
        <v>0</v>
      </c>
      <c r="O69" s="31">
        <v>0</v>
      </c>
      <c r="P69" s="123">
        <v>0</v>
      </c>
      <c r="Q69" s="173"/>
      <c r="R69" s="18"/>
    </row>
    <row r="70" spans="1:18" ht="15.75" thickBot="1">
      <c r="A70" s="29" t="s">
        <v>172</v>
      </c>
      <c r="B70" s="340" t="s">
        <v>154</v>
      </c>
      <c r="C70" s="341"/>
      <c r="D70" s="342"/>
      <c r="E70" s="113"/>
      <c r="F70" s="108"/>
      <c r="G70" s="13"/>
      <c r="H70" s="15"/>
      <c r="I70" s="15"/>
      <c r="J70" s="15"/>
      <c r="K70" s="15">
        <f>0+J70</f>
        <v>0</v>
      </c>
      <c r="L70" s="15">
        <f>0+K70</f>
        <v>0</v>
      </c>
      <c r="M70" s="119">
        <f t="shared" si="8"/>
        <v>0</v>
      </c>
      <c r="N70" s="124">
        <f t="shared" si="8"/>
        <v>0</v>
      </c>
      <c r="O70" s="31">
        <v>0</v>
      </c>
      <c r="P70" s="123">
        <v>0</v>
      </c>
      <c r="Q70" s="173"/>
      <c r="R70" s="18"/>
    </row>
    <row r="71" spans="1:18" ht="28.5" customHeight="1" thickBot="1">
      <c r="A71" s="231" t="s">
        <v>69</v>
      </c>
      <c r="B71" s="508" t="s">
        <v>227</v>
      </c>
      <c r="C71" s="509"/>
      <c r="D71" s="510"/>
      <c r="E71" s="81">
        <v>3000</v>
      </c>
      <c r="F71" s="114">
        <f>12000+E71</f>
        <v>15000</v>
      </c>
      <c r="G71" s="32">
        <f>G72+G73</f>
        <v>1345</v>
      </c>
      <c r="H71" s="23"/>
      <c r="I71" s="23"/>
      <c r="J71" s="23"/>
      <c r="K71" s="23">
        <f>G71</f>
        <v>1345</v>
      </c>
      <c r="L71" s="23">
        <f>L72</f>
        <v>12937</v>
      </c>
      <c r="M71" s="120">
        <f t="shared" si="8"/>
        <v>1655</v>
      </c>
      <c r="N71" s="125">
        <f t="shared" si="8"/>
        <v>2063</v>
      </c>
      <c r="O71" s="26">
        <v>0</v>
      </c>
      <c r="P71" s="27">
        <v>0</v>
      </c>
      <c r="Q71" s="173"/>
      <c r="R71" s="173"/>
    </row>
    <row r="72" spans="1:18" ht="15.75" thickBot="1">
      <c r="A72" s="29" t="s">
        <v>169</v>
      </c>
      <c r="B72" s="390" t="s">
        <v>152</v>
      </c>
      <c r="C72" s="391"/>
      <c r="D72" s="392"/>
      <c r="E72" s="112">
        <v>3000</v>
      </c>
      <c r="F72" s="108">
        <f>12000+E72</f>
        <v>15000</v>
      </c>
      <c r="G72" s="13">
        <v>1345</v>
      </c>
      <c r="H72" s="15"/>
      <c r="I72" s="15"/>
      <c r="J72" s="15"/>
      <c r="K72" s="15">
        <f>G72</f>
        <v>1345</v>
      </c>
      <c r="L72" s="15">
        <f>11592+K72</f>
        <v>12937</v>
      </c>
      <c r="M72" s="119">
        <f aca="true" t="shared" si="9" ref="M72:N82">E72-K72</f>
        <v>1655</v>
      </c>
      <c r="N72" s="124">
        <f t="shared" si="9"/>
        <v>2063</v>
      </c>
      <c r="O72" s="31">
        <v>0</v>
      </c>
      <c r="P72" s="123">
        <v>0</v>
      </c>
      <c r="Q72" s="173"/>
      <c r="R72" s="173"/>
    </row>
    <row r="73" spans="1:18" ht="15.75" thickBot="1">
      <c r="A73" s="29" t="s">
        <v>172</v>
      </c>
      <c r="B73" s="340" t="s">
        <v>154</v>
      </c>
      <c r="C73" s="341"/>
      <c r="D73" s="342"/>
      <c r="E73" s="113"/>
      <c r="F73" s="108"/>
      <c r="G73" s="13"/>
      <c r="H73" s="15"/>
      <c r="I73" s="15"/>
      <c r="J73" s="15"/>
      <c r="K73" s="15">
        <f>0+J73</f>
        <v>0</v>
      </c>
      <c r="L73" s="15">
        <f>0+K73</f>
        <v>0</v>
      </c>
      <c r="M73" s="119">
        <f t="shared" si="9"/>
        <v>0</v>
      </c>
      <c r="N73" s="124">
        <f t="shared" si="9"/>
        <v>0</v>
      </c>
      <c r="O73" s="31">
        <v>0</v>
      </c>
      <c r="P73" s="123">
        <v>0</v>
      </c>
      <c r="Q73" s="173"/>
      <c r="R73" s="173"/>
    </row>
    <row r="74" spans="1:18" ht="36.75" customHeight="1" thickBot="1">
      <c r="A74" s="30" t="s">
        <v>71</v>
      </c>
      <c r="B74" s="508" t="s">
        <v>72</v>
      </c>
      <c r="C74" s="509"/>
      <c r="D74" s="510"/>
      <c r="E74" s="81">
        <f>E75</f>
        <v>18000</v>
      </c>
      <c r="F74" s="114">
        <f>158000+E74</f>
        <v>176000</v>
      </c>
      <c r="G74" s="32">
        <f>G75+G76+G77</f>
        <v>9126</v>
      </c>
      <c r="H74" s="23"/>
      <c r="I74" s="23"/>
      <c r="J74" s="23"/>
      <c r="K74" s="23">
        <f>K75+K76+K77</f>
        <v>9126</v>
      </c>
      <c r="L74" s="23">
        <f>L75+L76+L77</f>
        <v>47402</v>
      </c>
      <c r="M74" s="120">
        <f t="shared" si="9"/>
        <v>8874</v>
      </c>
      <c r="N74" s="125">
        <f t="shared" si="9"/>
        <v>128598</v>
      </c>
      <c r="O74" s="26">
        <v>0</v>
      </c>
      <c r="P74" s="27">
        <v>0</v>
      </c>
      <c r="Q74" s="173"/>
      <c r="R74" s="173"/>
    </row>
    <row r="75" spans="1:18" ht="15.75" thickBot="1">
      <c r="A75" s="29" t="s">
        <v>173</v>
      </c>
      <c r="B75" s="340" t="s">
        <v>152</v>
      </c>
      <c r="C75" s="341"/>
      <c r="D75" s="342"/>
      <c r="E75" s="112">
        <v>18000</v>
      </c>
      <c r="F75" s="108">
        <f>158000+E75</f>
        <v>176000</v>
      </c>
      <c r="G75" s="13">
        <v>9126</v>
      </c>
      <c r="H75" s="15"/>
      <c r="I75" s="15"/>
      <c r="J75" s="15"/>
      <c r="K75" s="15">
        <f>G75</f>
        <v>9126</v>
      </c>
      <c r="L75" s="15">
        <f>38276+K75</f>
        <v>47402</v>
      </c>
      <c r="M75" s="119">
        <f t="shared" si="9"/>
        <v>8874</v>
      </c>
      <c r="N75" s="124">
        <f t="shared" si="9"/>
        <v>128598</v>
      </c>
      <c r="O75" s="31">
        <v>0</v>
      </c>
      <c r="P75" s="123">
        <v>0</v>
      </c>
      <c r="Q75" s="173"/>
      <c r="R75" s="173"/>
    </row>
    <row r="76" spans="1:18" ht="25.5" customHeight="1" thickBot="1">
      <c r="A76" s="29" t="s">
        <v>174</v>
      </c>
      <c r="B76" s="340" t="s">
        <v>171</v>
      </c>
      <c r="C76" s="341"/>
      <c r="D76" s="342"/>
      <c r="E76" s="113"/>
      <c r="F76" s="108"/>
      <c r="G76" s="13"/>
      <c r="H76" s="15"/>
      <c r="I76" s="15"/>
      <c r="J76" s="15"/>
      <c r="K76" s="15">
        <f aca="true" t="shared" si="10" ref="K76:L82">0+J76</f>
        <v>0</v>
      </c>
      <c r="L76" s="15">
        <f t="shared" si="10"/>
        <v>0</v>
      </c>
      <c r="M76" s="119">
        <f t="shared" si="9"/>
        <v>0</v>
      </c>
      <c r="N76" s="124">
        <f t="shared" si="9"/>
        <v>0</v>
      </c>
      <c r="O76" s="31">
        <v>0</v>
      </c>
      <c r="P76" s="123">
        <v>0</v>
      </c>
      <c r="Q76" s="173"/>
      <c r="R76" s="173"/>
    </row>
    <row r="77" spans="1:18" ht="15.75" thickBot="1">
      <c r="A77" s="29" t="s">
        <v>175</v>
      </c>
      <c r="B77" s="96" t="s">
        <v>154</v>
      </c>
      <c r="C77" s="97"/>
      <c r="D77" s="98"/>
      <c r="E77" s="112"/>
      <c r="F77" s="108"/>
      <c r="G77" s="13"/>
      <c r="H77" s="15"/>
      <c r="I77" s="15"/>
      <c r="J77" s="15"/>
      <c r="K77" s="15">
        <f t="shared" si="10"/>
        <v>0</v>
      </c>
      <c r="L77" s="15">
        <f t="shared" si="10"/>
        <v>0</v>
      </c>
      <c r="M77" s="119">
        <f t="shared" si="9"/>
        <v>0</v>
      </c>
      <c r="N77" s="124">
        <f t="shared" si="9"/>
        <v>0</v>
      </c>
      <c r="O77" s="31">
        <v>0</v>
      </c>
      <c r="P77" s="123">
        <v>0</v>
      </c>
      <c r="Q77" s="173"/>
      <c r="R77" s="173"/>
    </row>
    <row r="78" spans="1:18" ht="35.25" customHeight="1" thickBot="1">
      <c r="A78" s="128" t="s">
        <v>73</v>
      </c>
      <c r="B78" s="395" t="s">
        <v>74</v>
      </c>
      <c r="C78" s="396"/>
      <c r="D78" s="397"/>
      <c r="E78" s="81">
        <f>E79</f>
        <v>0</v>
      </c>
      <c r="F78" s="114">
        <f>F79</f>
        <v>1500</v>
      </c>
      <c r="G78" s="32"/>
      <c r="H78" s="23"/>
      <c r="I78" s="23"/>
      <c r="J78" s="23"/>
      <c r="K78" s="23">
        <f t="shared" si="10"/>
        <v>0</v>
      </c>
      <c r="L78" s="23">
        <f t="shared" si="10"/>
        <v>0</v>
      </c>
      <c r="M78" s="120">
        <f t="shared" si="9"/>
        <v>0</v>
      </c>
      <c r="N78" s="125">
        <f t="shared" si="9"/>
        <v>1500</v>
      </c>
      <c r="O78" s="26">
        <v>0</v>
      </c>
      <c r="P78" s="27">
        <v>0</v>
      </c>
      <c r="Q78" s="173"/>
      <c r="R78" s="173"/>
    </row>
    <row r="79" spans="1:18" ht="21" customHeight="1" thickBot="1">
      <c r="A79" s="29" t="s">
        <v>176</v>
      </c>
      <c r="B79" s="96" t="s">
        <v>152</v>
      </c>
      <c r="C79" s="97"/>
      <c r="D79" s="98"/>
      <c r="E79" s="113">
        <v>0</v>
      </c>
      <c r="F79" s="108">
        <f>1500+E79</f>
        <v>1500</v>
      </c>
      <c r="G79" s="13"/>
      <c r="H79" s="15"/>
      <c r="I79" s="15"/>
      <c r="J79" s="15"/>
      <c r="K79" s="15">
        <f t="shared" si="10"/>
        <v>0</v>
      </c>
      <c r="L79" s="15">
        <f t="shared" si="10"/>
        <v>0</v>
      </c>
      <c r="M79" s="119">
        <f t="shared" si="9"/>
        <v>0</v>
      </c>
      <c r="N79" s="124">
        <f t="shared" si="9"/>
        <v>1500</v>
      </c>
      <c r="O79" s="31">
        <v>0</v>
      </c>
      <c r="P79" s="123">
        <v>0</v>
      </c>
      <c r="Q79" s="173"/>
      <c r="R79" s="173"/>
    </row>
    <row r="80" spans="1:18" ht="29.25" customHeight="1" thickBot="1">
      <c r="A80" s="128" t="s">
        <v>75</v>
      </c>
      <c r="B80" s="395" t="s">
        <v>76</v>
      </c>
      <c r="C80" s="396"/>
      <c r="D80" s="397"/>
      <c r="E80" s="81">
        <f>E81</f>
        <v>0</v>
      </c>
      <c r="F80" s="114">
        <f>F81</f>
        <v>18500</v>
      </c>
      <c r="G80" s="32"/>
      <c r="H80" s="23"/>
      <c r="I80" s="23"/>
      <c r="J80" s="23"/>
      <c r="K80" s="23">
        <f t="shared" si="10"/>
        <v>0</v>
      </c>
      <c r="L80" s="23">
        <f>0+K80</f>
        <v>0</v>
      </c>
      <c r="M80" s="120">
        <f t="shared" si="9"/>
        <v>0</v>
      </c>
      <c r="N80" s="125">
        <f t="shared" si="9"/>
        <v>18500</v>
      </c>
      <c r="O80" s="26">
        <v>0</v>
      </c>
      <c r="P80" s="27">
        <v>0</v>
      </c>
      <c r="Q80" s="173"/>
      <c r="R80" s="173"/>
    </row>
    <row r="81" spans="1:18" ht="21" customHeight="1" thickBot="1">
      <c r="A81" s="29" t="s">
        <v>177</v>
      </c>
      <c r="B81" s="390" t="s">
        <v>152</v>
      </c>
      <c r="C81" s="391"/>
      <c r="D81" s="392"/>
      <c r="E81" s="113">
        <v>0</v>
      </c>
      <c r="F81" s="108">
        <f>18500+E81</f>
        <v>18500</v>
      </c>
      <c r="G81" s="198"/>
      <c r="H81" s="199"/>
      <c r="I81" s="93"/>
      <c r="J81" s="199"/>
      <c r="K81" s="15">
        <f t="shared" si="10"/>
        <v>0</v>
      </c>
      <c r="L81" s="15">
        <f t="shared" si="10"/>
        <v>0</v>
      </c>
      <c r="M81" s="119">
        <f>E81-K81</f>
        <v>0</v>
      </c>
      <c r="N81" s="124">
        <f t="shared" si="9"/>
        <v>18500</v>
      </c>
      <c r="O81" s="31">
        <v>0</v>
      </c>
      <c r="P81" s="123">
        <v>0</v>
      </c>
      <c r="Q81" s="173"/>
      <c r="R81" s="173"/>
    </row>
    <row r="82" spans="1:18" ht="16.5" customHeight="1" thickBot="1">
      <c r="A82" s="29" t="s">
        <v>178</v>
      </c>
      <c r="B82" s="96" t="s">
        <v>154</v>
      </c>
      <c r="C82" s="97"/>
      <c r="D82" s="98"/>
      <c r="E82" s="113"/>
      <c r="F82" s="15"/>
      <c r="G82" s="13"/>
      <c r="H82" s="200"/>
      <c r="I82" s="15"/>
      <c r="J82" s="200"/>
      <c r="K82" s="15">
        <f t="shared" si="10"/>
        <v>0</v>
      </c>
      <c r="L82" s="15">
        <f t="shared" si="10"/>
        <v>0</v>
      </c>
      <c r="M82" s="119">
        <f t="shared" si="9"/>
        <v>0</v>
      </c>
      <c r="N82" s="124">
        <f t="shared" si="9"/>
        <v>0</v>
      </c>
      <c r="O82" s="31">
        <v>0</v>
      </c>
      <c r="P82" s="123">
        <v>0</v>
      </c>
      <c r="Q82" s="173"/>
      <c r="R82" s="173"/>
    </row>
    <row r="83" spans="1:18" ht="15.75" thickBot="1">
      <c r="A83" s="398"/>
      <c r="B83" s="591" t="s">
        <v>30</v>
      </c>
      <c r="C83" s="592"/>
      <c r="D83" s="592"/>
      <c r="E83" s="592"/>
      <c r="F83" s="592"/>
      <c r="G83" s="592"/>
      <c r="H83" s="592"/>
      <c r="I83" s="592"/>
      <c r="J83" s="592"/>
      <c r="K83" s="592"/>
      <c r="L83" s="592"/>
      <c r="M83" s="592"/>
      <c r="N83" s="592"/>
      <c r="O83" s="592"/>
      <c r="P83" s="593"/>
      <c r="Q83" s="173"/>
      <c r="R83" s="173"/>
    </row>
    <row r="84" spans="1:18" ht="5.25" customHeight="1" hidden="1" thickBot="1">
      <c r="A84" s="399"/>
      <c r="B84" s="594"/>
      <c r="C84" s="595"/>
      <c r="D84" s="595"/>
      <c r="E84" s="595"/>
      <c r="F84" s="595"/>
      <c r="G84" s="595"/>
      <c r="H84" s="595"/>
      <c r="I84" s="595"/>
      <c r="J84" s="595"/>
      <c r="K84" s="595"/>
      <c r="L84" s="595"/>
      <c r="M84" s="595"/>
      <c r="N84" s="595"/>
      <c r="O84" s="595"/>
      <c r="P84" s="596"/>
      <c r="Q84" s="173"/>
      <c r="R84" s="173"/>
    </row>
    <row r="85" spans="1:18" ht="15.75" thickBot="1">
      <c r="A85" s="398"/>
      <c r="B85" s="550" t="s">
        <v>14</v>
      </c>
      <c r="C85" s="551"/>
      <c r="D85" s="552"/>
      <c r="E85" s="581" t="s">
        <v>24</v>
      </c>
      <c r="F85" s="583" t="s">
        <v>25</v>
      </c>
      <c r="G85" s="532" t="s">
        <v>31</v>
      </c>
      <c r="H85" s="522"/>
      <c r="I85" s="522"/>
      <c r="J85" s="522"/>
      <c r="K85" s="533"/>
      <c r="L85" s="534" t="s">
        <v>16</v>
      </c>
      <c r="M85" s="534" t="s">
        <v>17</v>
      </c>
      <c r="N85" s="534" t="s">
        <v>18</v>
      </c>
      <c r="O85" s="534" t="s">
        <v>19</v>
      </c>
      <c r="P85" s="534" t="s">
        <v>20</v>
      </c>
      <c r="Q85" s="173"/>
      <c r="R85" s="173"/>
    </row>
    <row r="86" spans="1:18" ht="90.75" customHeight="1" thickBot="1">
      <c r="A86" s="399"/>
      <c r="B86" s="553"/>
      <c r="C86" s="554"/>
      <c r="D86" s="555"/>
      <c r="E86" s="582"/>
      <c r="F86" s="584"/>
      <c r="G86" s="225" t="s">
        <v>32</v>
      </c>
      <c r="H86" s="225" t="s">
        <v>33</v>
      </c>
      <c r="I86" s="225" t="s">
        <v>34</v>
      </c>
      <c r="J86" s="175" t="s">
        <v>77</v>
      </c>
      <c r="K86" s="176" t="s">
        <v>27</v>
      </c>
      <c r="L86" s="535"/>
      <c r="M86" s="535"/>
      <c r="N86" s="535"/>
      <c r="O86" s="535"/>
      <c r="P86" s="535"/>
      <c r="Q86" s="173"/>
      <c r="R86" s="173"/>
    </row>
    <row r="87" spans="1:18" ht="15.75" thickBot="1">
      <c r="A87" s="29"/>
      <c r="B87" s="536">
        <v>1</v>
      </c>
      <c r="C87" s="537"/>
      <c r="D87" s="538"/>
      <c r="E87" s="180" t="s">
        <v>22</v>
      </c>
      <c r="F87" s="225">
        <v>3</v>
      </c>
      <c r="G87" s="225">
        <v>4</v>
      </c>
      <c r="H87" s="225">
        <v>5</v>
      </c>
      <c r="I87" s="175">
        <v>6</v>
      </c>
      <c r="J87" s="175">
        <v>7</v>
      </c>
      <c r="K87" s="192">
        <v>8</v>
      </c>
      <c r="L87" s="229">
        <v>9</v>
      </c>
      <c r="M87" s="175">
        <v>10</v>
      </c>
      <c r="N87" s="229">
        <v>11</v>
      </c>
      <c r="O87" s="175">
        <v>12</v>
      </c>
      <c r="P87" s="229">
        <v>13</v>
      </c>
      <c r="Q87" s="173"/>
      <c r="R87" s="173"/>
    </row>
    <row r="88" spans="1:18" ht="44.25" customHeight="1" thickBot="1">
      <c r="A88" s="22" t="s">
        <v>78</v>
      </c>
      <c r="B88" s="395" t="s">
        <v>79</v>
      </c>
      <c r="C88" s="396"/>
      <c r="D88" s="397"/>
      <c r="E88" s="81">
        <f>E89</f>
        <v>27555</v>
      </c>
      <c r="F88" s="114">
        <f>110220+E88</f>
        <v>137775</v>
      </c>
      <c r="G88" s="81">
        <f>G89+G90+G91+G92</f>
        <v>107966.8</v>
      </c>
      <c r="H88" s="23"/>
      <c r="I88" s="23">
        <f>I89+I90+I91</f>
        <v>250</v>
      </c>
      <c r="J88" s="23"/>
      <c r="K88" s="83">
        <f>K89+K90+K91+K92</f>
        <v>108216.8</v>
      </c>
      <c r="L88" s="23">
        <f>100060.1+K88</f>
        <v>208276.90000000002</v>
      </c>
      <c r="M88" s="120">
        <f aca="true" t="shared" si="11" ref="M88:N103">E88-K88</f>
        <v>-80661.8</v>
      </c>
      <c r="N88" s="125">
        <f t="shared" si="11"/>
        <v>-70501.90000000002</v>
      </c>
      <c r="O88" s="26">
        <v>0</v>
      </c>
      <c r="P88" s="27">
        <v>0</v>
      </c>
      <c r="Q88" s="18"/>
      <c r="R88" s="173"/>
    </row>
    <row r="89" spans="1:18" ht="26.25" customHeight="1" thickBot="1">
      <c r="A89" s="29" t="s">
        <v>179</v>
      </c>
      <c r="B89" s="390" t="s">
        <v>152</v>
      </c>
      <c r="C89" s="391"/>
      <c r="D89" s="392"/>
      <c r="E89" s="112">
        <f>E93+E94+E96+E97+E98+E100+E99+E95</f>
        <v>27555</v>
      </c>
      <c r="F89" s="108">
        <f>110220+E89</f>
        <v>137775</v>
      </c>
      <c r="G89" s="82">
        <f>G96+G97+G98+G100+G93+G94+G95+G99</f>
        <v>107966.8</v>
      </c>
      <c r="H89" s="15"/>
      <c r="I89" s="15"/>
      <c r="J89" s="15"/>
      <c r="K89" s="84">
        <f>G89</f>
        <v>107966.8</v>
      </c>
      <c r="L89" s="15">
        <f>L93+L94+L96+L97+L98+L99+L100</f>
        <v>130481.9</v>
      </c>
      <c r="M89" s="119">
        <f t="shared" si="11"/>
        <v>-80411.8</v>
      </c>
      <c r="N89" s="124">
        <f t="shared" si="11"/>
        <v>7293.100000000006</v>
      </c>
      <c r="O89" s="31">
        <v>0</v>
      </c>
      <c r="P89" s="123">
        <v>0</v>
      </c>
      <c r="Q89" s="18"/>
      <c r="R89" s="173"/>
    </row>
    <row r="90" spans="1:18" ht="21" customHeight="1" thickBot="1">
      <c r="A90" s="29" t="s">
        <v>180</v>
      </c>
      <c r="B90" s="390" t="s">
        <v>151</v>
      </c>
      <c r="C90" s="391"/>
      <c r="D90" s="392"/>
      <c r="E90" s="112"/>
      <c r="F90" s="108"/>
      <c r="G90" s="82"/>
      <c r="H90" s="15"/>
      <c r="I90" s="15"/>
      <c r="J90" s="15"/>
      <c r="K90" s="84">
        <f aca="true" t="shared" si="12" ref="K90:K99">G90</f>
        <v>0</v>
      </c>
      <c r="L90" s="15">
        <f aca="true" t="shared" si="13" ref="L90:L120">0+K90</f>
        <v>0</v>
      </c>
      <c r="M90" s="119">
        <f t="shared" si="11"/>
        <v>0</v>
      </c>
      <c r="N90" s="124">
        <f t="shared" si="11"/>
        <v>0</v>
      </c>
      <c r="O90" s="31">
        <v>0</v>
      </c>
      <c r="P90" s="123">
        <v>0</v>
      </c>
      <c r="Q90" s="18"/>
      <c r="R90" s="173"/>
    </row>
    <row r="91" spans="1:18" ht="25.5" customHeight="1" thickBot="1">
      <c r="A91" s="29" t="s">
        <v>181</v>
      </c>
      <c r="B91" s="340" t="s">
        <v>171</v>
      </c>
      <c r="C91" s="341"/>
      <c r="D91" s="342"/>
      <c r="E91" s="112"/>
      <c r="F91" s="108"/>
      <c r="G91" s="82"/>
      <c r="H91" s="15"/>
      <c r="I91" s="15">
        <f>I97</f>
        <v>250</v>
      </c>
      <c r="J91" s="15"/>
      <c r="K91" s="84">
        <f>I91</f>
        <v>250</v>
      </c>
      <c r="L91" s="15">
        <f t="shared" si="13"/>
        <v>250</v>
      </c>
      <c r="M91" s="119">
        <f>E91-K91</f>
        <v>-250</v>
      </c>
      <c r="N91" s="124">
        <f t="shared" si="11"/>
        <v>-250</v>
      </c>
      <c r="O91" s="31">
        <v>0</v>
      </c>
      <c r="P91" s="123">
        <v>0</v>
      </c>
      <c r="Q91" s="18"/>
      <c r="R91" s="173"/>
    </row>
    <row r="92" spans="1:18" ht="20.25" customHeight="1" thickBot="1">
      <c r="A92" s="29" t="s">
        <v>182</v>
      </c>
      <c r="B92" s="340" t="s">
        <v>154</v>
      </c>
      <c r="C92" s="341"/>
      <c r="D92" s="342"/>
      <c r="E92" s="112"/>
      <c r="F92" s="108"/>
      <c r="G92" s="82"/>
      <c r="H92" s="15"/>
      <c r="I92" s="15"/>
      <c r="J92" s="15"/>
      <c r="K92" s="84">
        <f t="shared" si="12"/>
        <v>0</v>
      </c>
      <c r="L92" s="15">
        <f t="shared" si="13"/>
        <v>0</v>
      </c>
      <c r="M92" s="119">
        <f t="shared" si="11"/>
        <v>0</v>
      </c>
      <c r="N92" s="124">
        <f t="shared" si="11"/>
        <v>0</v>
      </c>
      <c r="O92" s="31">
        <v>0</v>
      </c>
      <c r="P92" s="123">
        <v>0</v>
      </c>
      <c r="Q92" s="18"/>
      <c r="R92" s="196">
        <f>L93+L94+L95+L96+L97+L98+L99+L100</f>
        <v>208276.89999999997</v>
      </c>
    </row>
    <row r="93" spans="1:18" ht="15.75" thickBot="1">
      <c r="A93" s="29" t="s">
        <v>80</v>
      </c>
      <c r="B93" s="359" t="s">
        <v>81</v>
      </c>
      <c r="C93" s="360"/>
      <c r="D93" s="361"/>
      <c r="E93" s="108">
        <v>3000</v>
      </c>
      <c r="F93" s="108">
        <f>12000+E93</f>
        <v>15000</v>
      </c>
      <c r="G93" s="82">
        <v>3000</v>
      </c>
      <c r="H93" s="13"/>
      <c r="I93" s="13"/>
      <c r="J93" s="13"/>
      <c r="K93" s="84">
        <f t="shared" si="12"/>
        <v>3000</v>
      </c>
      <c r="L93" s="15">
        <f>12000+K93</f>
        <v>15000</v>
      </c>
      <c r="M93" s="119">
        <f t="shared" si="11"/>
        <v>0</v>
      </c>
      <c r="N93" s="124">
        <f t="shared" si="11"/>
        <v>0</v>
      </c>
      <c r="O93" s="31">
        <v>0</v>
      </c>
      <c r="P93" s="123">
        <v>0</v>
      </c>
      <c r="Q93" s="173"/>
      <c r="R93" s="18">
        <f>L89+L90+L91+L92</f>
        <v>130731.9</v>
      </c>
    </row>
    <row r="94" spans="1:18" ht="15.75" thickBot="1">
      <c r="A94" s="29" t="s">
        <v>82</v>
      </c>
      <c r="B94" s="387" t="s">
        <v>209</v>
      </c>
      <c r="C94" s="388"/>
      <c r="D94" s="389"/>
      <c r="E94" s="108">
        <v>4400</v>
      </c>
      <c r="F94" s="108">
        <f>17600+E94</f>
        <v>22000</v>
      </c>
      <c r="G94" s="82">
        <v>8800</v>
      </c>
      <c r="H94" s="13"/>
      <c r="I94" s="13"/>
      <c r="J94" s="13"/>
      <c r="K94" s="84">
        <f>G94</f>
        <v>8800</v>
      </c>
      <c r="L94" s="15">
        <f>17600+K94</f>
        <v>26400</v>
      </c>
      <c r="M94" s="119">
        <f t="shared" si="11"/>
        <v>-4400</v>
      </c>
      <c r="N94" s="124">
        <f t="shared" si="11"/>
        <v>-4400</v>
      </c>
      <c r="O94" s="31">
        <v>0</v>
      </c>
      <c r="P94" s="123">
        <v>0</v>
      </c>
      <c r="Q94" s="173"/>
      <c r="R94" s="173"/>
    </row>
    <row r="95" spans="1:18" ht="15.75" thickBot="1">
      <c r="A95" s="29" t="s">
        <v>83</v>
      </c>
      <c r="B95" s="359" t="s">
        <v>231</v>
      </c>
      <c r="C95" s="360"/>
      <c r="D95" s="361"/>
      <c r="E95" s="108"/>
      <c r="F95" s="108">
        <f>0+E95</f>
        <v>0</v>
      </c>
      <c r="G95" s="82">
        <v>77795</v>
      </c>
      <c r="H95" s="13"/>
      <c r="I95" s="13"/>
      <c r="J95" s="13"/>
      <c r="K95" s="84">
        <f t="shared" si="12"/>
        <v>77795</v>
      </c>
      <c r="L95" s="15">
        <f t="shared" si="13"/>
        <v>77795</v>
      </c>
      <c r="M95" s="119">
        <f t="shared" si="11"/>
        <v>-77795</v>
      </c>
      <c r="N95" s="124">
        <f t="shared" si="11"/>
        <v>-77795</v>
      </c>
      <c r="O95" s="31">
        <v>0</v>
      </c>
      <c r="P95" s="123">
        <v>0</v>
      </c>
      <c r="Q95" s="173"/>
      <c r="R95" s="173"/>
    </row>
    <row r="96" spans="1:18" ht="15.75" thickBot="1">
      <c r="A96" s="29" t="s">
        <v>85</v>
      </c>
      <c r="B96" s="359" t="s">
        <v>86</v>
      </c>
      <c r="C96" s="360"/>
      <c r="D96" s="361"/>
      <c r="E96" s="108">
        <v>1355</v>
      </c>
      <c r="F96" s="108">
        <f>5420+E96</f>
        <v>6775</v>
      </c>
      <c r="G96" s="82">
        <v>1355</v>
      </c>
      <c r="H96" s="13"/>
      <c r="I96" s="13"/>
      <c r="J96" s="13"/>
      <c r="K96" s="84">
        <f t="shared" si="12"/>
        <v>1355</v>
      </c>
      <c r="L96" s="15">
        <f>4400+K96</f>
        <v>5755</v>
      </c>
      <c r="M96" s="119">
        <f t="shared" si="11"/>
        <v>0</v>
      </c>
      <c r="N96" s="124">
        <f t="shared" si="11"/>
        <v>1020</v>
      </c>
      <c r="O96" s="31">
        <v>0</v>
      </c>
      <c r="P96" s="123">
        <v>0</v>
      </c>
      <c r="Q96" s="173"/>
      <c r="R96" s="173"/>
    </row>
    <row r="97" spans="1:18" ht="15.75" thickBot="1">
      <c r="A97" s="29" t="s">
        <v>87</v>
      </c>
      <c r="B97" s="359" t="s">
        <v>88</v>
      </c>
      <c r="C97" s="360"/>
      <c r="D97" s="361"/>
      <c r="E97" s="108">
        <v>7500</v>
      </c>
      <c r="F97" s="108">
        <f>30000+E97</f>
        <v>37500</v>
      </c>
      <c r="G97" s="82">
        <v>3374</v>
      </c>
      <c r="H97" s="13"/>
      <c r="I97" s="13">
        <v>250</v>
      </c>
      <c r="J97" s="13"/>
      <c r="K97" s="84">
        <f>G97+I97</f>
        <v>3624</v>
      </c>
      <c r="L97" s="15">
        <f>23607.61+K97</f>
        <v>27231.61</v>
      </c>
      <c r="M97" s="119">
        <f t="shared" si="11"/>
        <v>3876</v>
      </c>
      <c r="N97" s="124">
        <f t="shared" si="11"/>
        <v>10268.39</v>
      </c>
      <c r="O97" s="31">
        <v>0</v>
      </c>
      <c r="P97" s="123">
        <v>0</v>
      </c>
      <c r="Q97" s="173"/>
      <c r="R97" s="173"/>
    </row>
    <row r="98" spans="1:16" ht="15.75" thickBot="1">
      <c r="A98" s="29" t="s">
        <v>89</v>
      </c>
      <c r="B98" s="359" t="s">
        <v>90</v>
      </c>
      <c r="C98" s="360"/>
      <c r="D98" s="361"/>
      <c r="E98" s="108">
        <v>1500</v>
      </c>
      <c r="F98" s="108">
        <f>6000+E98</f>
        <v>7500</v>
      </c>
      <c r="G98" s="82">
        <v>4272</v>
      </c>
      <c r="H98" s="13"/>
      <c r="I98" s="13"/>
      <c r="J98" s="13"/>
      <c r="K98" s="84">
        <f t="shared" si="12"/>
        <v>4272</v>
      </c>
      <c r="L98" s="15">
        <f>8316+K98</f>
        <v>12588</v>
      </c>
      <c r="M98" s="119">
        <f t="shared" si="11"/>
        <v>-2772</v>
      </c>
      <c r="N98" s="124">
        <f t="shared" si="11"/>
        <v>-5088</v>
      </c>
      <c r="O98" s="31">
        <v>0</v>
      </c>
      <c r="P98" s="123">
        <v>0</v>
      </c>
    </row>
    <row r="99" spans="1:16" ht="15.75" thickBot="1">
      <c r="A99" s="29" t="s">
        <v>91</v>
      </c>
      <c r="B99" s="359" t="s">
        <v>92</v>
      </c>
      <c r="C99" s="360"/>
      <c r="D99" s="361"/>
      <c r="E99" s="108">
        <v>0</v>
      </c>
      <c r="F99" s="108">
        <f>0+E99</f>
        <v>0</v>
      </c>
      <c r="G99" s="82"/>
      <c r="H99" s="13"/>
      <c r="I99" s="13"/>
      <c r="J99" s="13"/>
      <c r="K99" s="84">
        <f t="shared" si="12"/>
        <v>0</v>
      </c>
      <c r="L99" s="15">
        <f t="shared" si="13"/>
        <v>0</v>
      </c>
      <c r="M99" s="119">
        <f t="shared" si="11"/>
        <v>0</v>
      </c>
      <c r="N99" s="124">
        <f t="shared" si="11"/>
        <v>0</v>
      </c>
      <c r="O99" s="31">
        <v>0</v>
      </c>
      <c r="P99" s="123">
        <v>0</v>
      </c>
    </row>
    <row r="100" spans="1:16" ht="15.75" thickBot="1">
      <c r="A100" s="29" t="s">
        <v>93</v>
      </c>
      <c r="B100" s="359" t="s">
        <v>94</v>
      </c>
      <c r="C100" s="360"/>
      <c r="D100" s="361"/>
      <c r="E100" s="108">
        <v>9800</v>
      </c>
      <c r="F100" s="108">
        <f>39200+E100</f>
        <v>49000</v>
      </c>
      <c r="G100" s="82">
        <v>9370.8</v>
      </c>
      <c r="H100" s="13"/>
      <c r="I100" s="13"/>
      <c r="J100" s="13"/>
      <c r="K100" s="84">
        <f>G100</f>
        <v>9370.8</v>
      </c>
      <c r="L100" s="15">
        <f>34136.49+K100</f>
        <v>43507.28999999999</v>
      </c>
      <c r="M100" s="119">
        <f t="shared" si="11"/>
        <v>429.2000000000007</v>
      </c>
      <c r="N100" s="124">
        <f t="shared" si="11"/>
        <v>5492.710000000006</v>
      </c>
      <c r="O100" s="31">
        <v>0</v>
      </c>
      <c r="P100" s="123">
        <v>0</v>
      </c>
    </row>
    <row r="101" spans="1:18" ht="30" customHeight="1" thickBot="1">
      <c r="A101" s="56" t="s">
        <v>95</v>
      </c>
      <c r="B101" s="425" t="s">
        <v>96</v>
      </c>
      <c r="C101" s="323"/>
      <c r="D101" s="324"/>
      <c r="E101" s="114">
        <f>E102+E103</f>
        <v>164250</v>
      </c>
      <c r="F101" s="114">
        <f>187201+E101</f>
        <v>351451</v>
      </c>
      <c r="G101" s="114">
        <f>G102+G104+G105</f>
        <v>18806</v>
      </c>
      <c r="H101" s="32">
        <f>H103</f>
        <v>0</v>
      </c>
      <c r="I101" s="23">
        <f>I104</f>
        <v>0</v>
      </c>
      <c r="J101" s="23"/>
      <c r="K101" s="114">
        <f>G101+H101+I101+J101</f>
        <v>18806</v>
      </c>
      <c r="L101" s="23">
        <f>L102+L103+L104+L105</f>
        <v>521209.58999999997</v>
      </c>
      <c r="M101" s="120">
        <f t="shared" si="11"/>
        <v>145444</v>
      </c>
      <c r="N101" s="125">
        <f t="shared" si="11"/>
        <v>-169758.58999999997</v>
      </c>
      <c r="O101" s="26">
        <v>0</v>
      </c>
      <c r="P101" s="27">
        <v>0</v>
      </c>
      <c r="R101" s="197">
        <f>L102+L104-L101</f>
        <v>-153006</v>
      </c>
    </row>
    <row r="102" spans="1:18" ht="18" customHeight="1" thickBot="1">
      <c r="A102" s="29" t="s">
        <v>183</v>
      </c>
      <c r="B102" s="390" t="s">
        <v>152</v>
      </c>
      <c r="C102" s="391"/>
      <c r="D102" s="392"/>
      <c r="E102" s="112">
        <f>E106+E107+E114+E119+E131+E113+E128</f>
        <v>151500</v>
      </c>
      <c r="F102" s="108">
        <f>136200+E102</f>
        <v>287700</v>
      </c>
      <c r="G102" s="13">
        <f>G106+G107+G108+G109+G110+G111+G112+G113+G114+G115+G116+G117+G118+G119+G126+G127+G128+G129+G130+G131</f>
        <v>18806</v>
      </c>
      <c r="H102" s="13"/>
      <c r="I102" s="15"/>
      <c r="J102" s="15"/>
      <c r="K102" s="84">
        <f>G102</f>
        <v>18806</v>
      </c>
      <c r="L102" s="15">
        <f>236347.59+K102</f>
        <v>255153.59</v>
      </c>
      <c r="M102" s="119">
        <f t="shared" si="11"/>
        <v>132694</v>
      </c>
      <c r="N102" s="124">
        <f t="shared" si="11"/>
        <v>32546.410000000003</v>
      </c>
      <c r="O102" s="31">
        <v>0</v>
      </c>
      <c r="P102" s="123">
        <v>0</v>
      </c>
      <c r="R102" s="197"/>
    </row>
    <row r="103" spans="1:18" ht="21.75" customHeight="1" thickBot="1">
      <c r="A103" s="29" t="s">
        <v>184</v>
      </c>
      <c r="B103" s="390" t="s">
        <v>151</v>
      </c>
      <c r="C103" s="391"/>
      <c r="D103" s="392"/>
      <c r="E103" s="112">
        <f>E129</f>
        <v>12750</v>
      </c>
      <c r="F103" s="108">
        <f>51001+E103</f>
        <v>63751</v>
      </c>
      <c r="G103" s="13"/>
      <c r="H103" s="13">
        <f>H129</f>
        <v>0</v>
      </c>
      <c r="I103" s="15"/>
      <c r="J103" s="15"/>
      <c r="K103" s="84">
        <f>H103</f>
        <v>0</v>
      </c>
      <c r="L103" s="15">
        <f>153006+K103</f>
        <v>153006</v>
      </c>
      <c r="M103" s="119">
        <f t="shared" si="11"/>
        <v>12750</v>
      </c>
      <c r="N103" s="124">
        <f t="shared" si="11"/>
        <v>-89255</v>
      </c>
      <c r="O103" s="31">
        <v>0</v>
      </c>
      <c r="P103" s="123">
        <v>0</v>
      </c>
      <c r="R103" s="201">
        <f>F93+F94+F95+F96+F97+F98+F99+F100</f>
        <v>137775</v>
      </c>
    </row>
    <row r="104" spans="1:16" ht="27.75" customHeight="1" thickBot="1">
      <c r="A104" s="29" t="s">
        <v>185</v>
      </c>
      <c r="B104" s="340" t="s">
        <v>171</v>
      </c>
      <c r="C104" s="341"/>
      <c r="D104" s="342"/>
      <c r="E104" s="112"/>
      <c r="F104" s="108"/>
      <c r="G104" s="108"/>
      <c r="H104" s="13"/>
      <c r="I104" s="15">
        <f>I128</f>
        <v>0</v>
      </c>
      <c r="J104" s="15"/>
      <c r="K104" s="84">
        <f>I104</f>
        <v>0</v>
      </c>
      <c r="L104" s="15">
        <f>113050+K104</f>
        <v>113050</v>
      </c>
      <c r="M104" s="119">
        <f aca="true" t="shared" si="14" ref="M104:N120">E104-K104</f>
        <v>0</v>
      </c>
      <c r="N104" s="124">
        <f t="shared" si="14"/>
        <v>-113050</v>
      </c>
      <c r="O104" s="31">
        <v>0</v>
      </c>
      <c r="P104" s="123">
        <v>0</v>
      </c>
    </row>
    <row r="105" spans="1:18" ht="27.75" customHeight="1" thickBot="1">
      <c r="A105" s="29" t="s">
        <v>186</v>
      </c>
      <c r="B105" s="390" t="s">
        <v>154</v>
      </c>
      <c r="C105" s="391"/>
      <c r="D105" s="392"/>
      <c r="E105" s="112"/>
      <c r="F105" s="108"/>
      <c r="G105" s="13"/>
      <c r="H105" s="13"/>
      <c r="I105" s="15"/>
      <c r="J105" s="15"/>
      <c r="K105" s="84">
        <f>G105</f>
        <v>0</v>
      </c>
      <c r="L105" s="15">
        <f t="shared" si="13"/>
        <v>0</v>
      </c>
      <c r="M105" s="119">
        <f t="shared" si="14"/>
        <v>0</v>
      </c>
      <c r="N105" s="124">
        <f t="shared" si="14"/>
        <v>0</v>
      </c>
      <c r="O105" s="31">
        <v>0</v>
      </c>
      <c r="P105" s="123">
        <v>0</v>
      </c>
      <c r="R105" s="197">
        <f>L106+L113+L114+L118+L119+L131</f>
        <v>137208.05000000002</v>
      </c>
    </row>
    <row r="106" spans="1:16" ht="15.75" thickBot="1">
      <c r="A106" s="29" t="s">
        <v>97</v>
      </c>
      <c r="B106" s="511" t="s">
        <v>98</v>
      </c>
      <c r="C106" s="512"/>
      <c r="D106" s="513"/>
      <c r="E106" s="108"/>
      <c r="F106" s="108">
        <f>32600+E106</f>
        <v>32600</v>
      </c>
      <c r="G106" s="13">
        <v>2300</v>
      </c>
      <c r="H106" s="13"/>
      <c r="I106" s="13"/>
      <c r="J106" s="13"/>
      <c r="K106" s="84">
        <f aca="true" t="shared" si="15" ref="K106:K120">G106</f>
        <v>2300</v>
      </c>
      <c r="L106" s="15">
        <f>37500+K106</f>
        <v>39800</v>
      </c>
      <c r="M106" s="119">
        <f t="shared" si="14"/>
        <v>-2300</v>
      </c>
      <c r="N106" s="124">
        <f t="shared" si="14"/>
        <v>-7200</v>
      </c>
      <c r="O106" s="31">
        <v>0</v>
      </c>
      <c r="P106" s="123">
        <v>0</v>
      </c>
    </row>
    <row r="107" spans="1:16" ht="15.75" thickBot="1">
      <c r="A107" s="29" t="s">
        <v>99</v>
      </c>
      <c r="B107" s="359" t="s">
        <v>100</v>
      </c>
      <c r="C107" s="360"/>
      <c r="D107" s="361"/>
      <c r="E107" s="108"/>
      <c r="F107" s="108">
        <f>15000+E107</f>
        <v>15000</v>
      </c>
      <c r="G107" s="13"/>
      <c r="H107" s="13"/>
      <c r="I107" s="13"/>
      <c r="J107" s="13"/>
      <c r="K107" s="84">
        <f t="shared" si="15"/>
        <v>0</v>
      </c>
      <c r="L107" s="15">
        <f t="shared" si="13"/>
        <v>0</v>
      </c>
      <c r="M107" s="119">
        <f t="shared" si="14"/>
        <v>0</v>
      </c>
      <c r="N107" s="124">
        <f t="shared" si="14"/>
        <v>15000</v>
      </c>
      <c r="O107" s="31">
        <v>0</v>
      </c>
      <c r="P107" s="123">
        <v>0</v>
      </c>
    </row>
    <row r="108" spans="1:19" ht="15.75" thickBot="1">
      <c r="A108" s="29" t="s">
        <v>101</v>
      </c>
      <c r="B108" s="384" t="s">
        <v>102</v>
      </c>
      <c r="C108" s="385"/>
      <c r="D108" s="386"/>
      <c r="E108" s="108"/>
      <c r="F108" s="108"/>
      <c r="G108" s="13"/>
      <c r="H108" s="13"/>
      <c r="I108" s="13"/>
      <c r="J108" s="13"/>
      <c r="K108" s="84">
        <f t="shared" si="15"/>
        <v>0</v>
      </c>
      <c r="L108" s="15">
        <f t="shared" si="13"/>
        <v>0</v>
      </c>
      <c r="M108" s="119">
        <f t="shared" si="14"/>
        <v>0</v>
      </c>
      <c r="N108" s="124">
        <f t="shared" si="14"/>
        <v>0</v>
      </c>
      <c r="O108" s="31">
        <v>0</v>
      </c>
      <c r="P108" s="123">
        <v>0</v>
      </c>
      <c r="S108" s="201">
        <f>F106+F107+F113+F114+F119+F128+F129+F131</f>
        <v>338100</v>
      </c>
    </row>
    <row r="109" spans="1:19" ht="15.75" thickBot="1">
      <c r="A109" s="29" t="s">
        <v>103</v>
      </c>
      <c r="B109" s="359" t="s">
        <v>104</v>
      </c>
      <c r="C109" s="360"/>
      <c r="D109" s="361"/>
      <c r="E109" s="108"/>
      <c r="F109" s="108"/>
      <c r="G109" s="13"/>
      <c r="H109" s="13"/>
      <c r="I109" s="13"/>
      <c r="J109" s="13"/>
      <c r="K109" s="84">
        <f t="shared" si="15"/>
        <v>0</v>
      </c>
      <c r="L109" s="15">
        <f t="shared" si="13"/>
        <v>0</v>
      </c>
      <c r="M109" s="119">
        <f t="shared" si="14"/>
        <v>0</v>
      </c>
      <c r="N109" s="124">
        <f t="shared" si="14"/>
        <v>0</v>
      </c>
      <c r="O109" s="31">
        <v>0</v>
      </c>
      <c r="P109" s="123">
        <v>0</v>
      </c>
      <c r="S109" s="201">
        <f>F102+F103</f>
        <v>351451</v>
      </c>
    </row>
    <row r="110" spans="1:18" ht="15.75" thickBot="1">
      <c r="A110" s="29" t="s">
        <v>105</v>
      </c>
      <c r="B110" s="359" t="s">
        <v>106</v>
      </c>
      <c r="C110" s="360"/>
      <c r="D110" s="361"/>
      <c r="E110" s="108"/>
      <c r="F110" s="108"/>
      <c r="G110" s="13"/>
      <c r="H110" s="13"/>
      <c r="I110" s="13"/>
      <c r="J110" s="13"/>
      <c r="K110" s="84">
        <f t="shared" si="15"/>
        <v>0</v>
      </c>
      <c r="L110" s="15">
        <f t="shared" si="13"/>
        <v>0</v>
      </c>
      <c r="M110" s="119">
        <f t="shared" si="14"/>
        <v>0</v>
      </c>
      <c r="N110" s="124">
        <f t="shared" si="14"/>
        <v>0</v>
      </c>
      <c r="O110" s="31">
        <v>0</v>
      </c>
      <c r="P110" s="123">
        <v>0</v>
      </c>
      <c r="R110" s="201"/>
    </row>
    <row r="111" spans="1:16" ht="15.75" thickBot="1">
      <c r="A111" s="29" t="s">
        <v>107</v>
      </c>
      <c r="B111" s="384" t="s">
        <v>108</v>
      </c>
      <c r="C111" s="385"/>
      <c r="D111" s="386"/>
      <c r="E111" s="108"/>
      <c r="F111" s="108"/>
      <c r="G111" s="13"/>
      <c r="H111" s="13"/>
      <c r="I111" s="13"/>
      <c r="J111" s="13"/>
      <c r="K111" s="84">
        <f t="shared" si="15"/>
        <v>0</v>
      </c>
      <c r="L111" s="15">
        <f t="shared" si="13"/>
        <v>0</v>
      </c>
      <c r="M111" s="119">
        <f t="shared" si="14"/>
        <v>0</v>
      </c>
      <c r="N111" s="124">
        <f t="shared" si="14"/>
        <v>0</v>
      </c>
      <c r="O111" s="31">
        <v>0</v>
      </c>
      <c r="P111" s="123">
        <v>0</v>
      </c>
    </row>
    <row r="112" spans="1:16" ht="15.75" thickBot="1">
      <c r="A112" s="29" t="s">
        <v>109</v>
      </c>
      <c r="B112" s="359" t="s">
        <v>110</v>
      </c>
      <c r="C112" s="360"/>
      <c r="D112" s="361"/>
      <c r="E112" s="108"/>
      <c r="F112" s="108"/>
      <c r="G112" s="13"/>
      <c r="H112" s="13"/>
      <c r="I112" s="13"/>
      <c r="J112" s="13"/>
      <c r="K112" s="84">
        <f t="shared" si="15"/>
        <v>0</v>
      </c>
      <c r="L112" s="15">
        <f t="shared" si="13"/>
        <v>0</v>
      </c>
      <c r="M112" s="119">
        <f t="shared" si="14"/>
        <v>0</v>
      </c>
      <c r="N112" s="124">
        <f t="shared" si="14"/>
        <v>0</v>
      </c>
      <c r="O112" s="31">
        <v>0</v>
      </c>
      <c r="P112" s="123">
        <v>0</v>
      </c>
    </row>
    <row r="113" spans="1:16" ht="15.75" thickBot="1">
      <c r="A113" s="29" t="s">
        <v>111</v>
      </c>
      <c r="B113" s="359" t="s">
        <v>112</v>
      </c>
      <c r="C113" s="360"/>
      <c r="D113" s="361"/>
      <c r="E113" s="108"/>
      <c r="F113" s="108">
        <f>40000+E113</f>
        <v>40000</v>
      </c>
      <c r="G113" s="13">
        <v>15940</v>
      </c>
      <c r="H113" s="13"/>
      <c r="I113" s="13"/>
      <c r="J113" s="13"/>
      <c r="K113" s="84">
        <f t="shared" si="15"/>
        <v>15940</v>
      </c>
      <c r="L113" s="15">
        <f>14490+K113</f>
        <v>30430</v>
      </c>
      <c r="M113" s="119">
        <f t="shared" si="14"/>
        <v>-15940</v>
      </c>
      <c r="N113" s="124">
        <f t="shared" si="14"/>
        <v>9570</v>
      </c>
      <c r="O113" s="31">
        <v>0</v>
      </c>
      <c r="P113" s="123">
        <v>0</v>
      </c>
    </row>
    <row r="114" spans="1:16" ht="15.75" thickBot="1">
      <c r="A114" s="29" t="s">
        <v>113</v>
      </c>
      <c r="B114" s="359" t="s">
        <v>114</v>
      </c>
      <c r="C114" s="360"/>
      <c r="D114" s="361"/>
      <c r="E114" s="108">
        <v>1500</v>
      </c>
      <c r="F114" s="108">
        <f>6000+E114</f>
        <v>7500</v>
      </c>
      <c r="G114" s="13"/>
      <c r="H114" s="13"/>
      <c r="I114" s="13"/>
      <c r="J114" s="13"/>
      <c r="K114" s="84">
        <f t="shared" si="15"/>
        <v>0</v>
      </c>
      <c r="L114" s="15">
        <f>7749.51+K114</f>
        <v>7749.51</v>
      </c>
      <c r="M114" s="119">
        <f t="shared" si="14"/>
        <v>1500</v>
      </c>
      <c r="N114" s="124">
        <f t="shared" si="14"/>
        <v>-249.51000000000022</v>
      </c>
      <c r="O114" s="31">
        <v>0</v>
      </c>
      <c r="P114" s="123">
        <v>0</v>
      </c>
    </row>
    <row r="115" spans="1:16" ht="15.75" thickBot="1">
      <c r="A115" s="29" t="s">
        <v>115</v>
      </c>
      <c r="B115" s="359" t="s">
        <v>116</v>
      </c>
      <c r="C115" s="360"/>
      <c r="D115" s="361"/>
      <c r="E115" s="108"/>
      <c r="F115" s="108"/>
      <c r="G115" s="13"/>
      <c r="H115" s="13"/>
      <c r="I115" s="13"/>
      <c r="J115" s="13"/>
      <c r="K115" s="84">
        <f t="shared" si="15"/>
        <v>0</v>
      </c>
      <c r="L115" s="15">
        <f t="shared" si="13"/>
        <v>0</v>
      </c>
      <c r="M115" s="119">
        <f t="shared" si="14"/>
        <v>0</v>
      </c>
      <c r="N115" s="124">
        <f t="shared" si="14"/>
        <v>0</v>
      </c>
      <c r="O115" s="31">
        <v>0</v>
      </c>
      <c r="P115" s="123">
        <v>0</v>
      </c>
    </row>
    <row r="116" spans="1:16" ht="15.75" thickBot="1">
      <c r="A116" s="29" t="s">
        <v>117</v>
      </c>
      <c r="B116" s="359" t="s">
        <v>118</v>
      </c>
      <c r="C116" s="360"/>
      <c r="D116" s="361"/>
      <c r="E116" s="108"/>
      <c r="F116" s="108"/>
      <c r="G116" s="13"/>
      <c r="H116" s="13"/>
      <c r="I116" s="13"/>
      <c r="J116" s="13"/>
      <c r="K116" s="84">
        <f t="shared" si="15"/>
        <v>0</v>
      </c>
      <c r="L116" s="15">
        <f t="shared" si="13"/>
        <v>0</v>
      </c>
      <c r="M116" s="119">
        <f t="shared" si="14"/>
        <v>0</v>
      </c>
      <c r="N116" s="124">
        <f t="shared" si="14"/>
        <v>0</v>
      </c>
      <c r="O116" s="31">
        <v>0</v>
      </c>
      <c r="P116" s="123">
        <v>0</v>
      </c>
    </row>
    <row r="117" spans="1:16" ht="15.75" thickBot="1">
      <c r="A117" s="29"/>
      <c r="B117" s="359" t="s">
        <v>119</v>
      </c>
      <c r="C117" s="360"/>
      <c r="D117" s="361"/>
      <c r="E117" s="108"/>
      <c r="F117" s="108"/>
      <c r="G117" s="13"/>
      <c r="H117" s="13"/>
      <c r="I117" s="13"/>
      <c r="J117" s="13"/>
      <c r="K117" s="84">
        <f t="shared" si="15"/>
        <v>0</v>
      </c>
      <c r="L117" s="15">
        <f t="shared" si="13"/>
        <v>0</v>
      </c>
      <c r="M117" s="119">
        <f t="shared" si="14"/>
        <v>0</v>
      </c>
      <c r="N117" s="124">
        <f t="shared" si="14"/>
        <v>0</v>
      </c>
      <c r="O117" s="31">
        <v>0</v>
      </c>
      <c r="P117" s="123">
        <v>0</v>
      </c>
    </row>
    <row r="118" spans="1:16" ht="15.75" thickBot="1">
      <c r="A118" s="29" t="s">
        <v>120</v>
      </c>
      <c r="B118" s="359" t="s">
        <v>121</v>
      </c>
      <c r="C118" s="360"/>
      <c r="D118" s="361"/>
      <c r="E118" s="108"/>
      <c r="F118" s="108"/>
      <c r="G118" s="13"/>
      <c r="H118" s="13"/>
      <c r="I118" s="13"/>
      <c r="J118" s="13"/>
      <c r="K118" s="84">
        <f t="shared" si="15"/>
        <v>0</v>
      </c>
      <c r="L118" s="15">
        <f>1827.49+K118</f>
        <v>1827.49</v>
      </c>
      <c r="M118" s="119">
        <f t="shared" si="14"/>
        <v>0</v>
      </c>
      <c r="N118" s="124">
        <f t="shared" si="14"/>
        <v>-1827.49</v>
      </c>
      <c r="O118" s="31">
        <v>0</v>
      </c>
      <c r="P118" s="123">
        <v>0</v>
      </c>
    </row>
    <row r="119" spans="1:16" ht="15.75" thickBot="1">
      <c r="A119" s="29" t="s">
        <v>211</v>
      </c>
      <c r="B119" s="381" t="s">
        <v>122</v>
      </c>
      <c r="C119" s="382"/>
      <c r="D119" s="383"/>
      <c r="E119" s="108"/>
      <c r="F119" s="108">
        <f>36000+E119</f>
        <v>36000</v>
      </c>
      <c r="G119" s="13"/>
      <c r="H119" s="13"/>
      <c r="I119" s="13"/>
      <c r="J119" s="13"/>
      <c r="K119" s="84">
        <f t="shared" si="15"/>
        <v>0</v>
      </c>
      <c r="L119" s="15">
        <f>51706.38+K119</f>
        <v>51706.38</v>
      </c>
      <c r="M119" s="119">
        <f t="shared" si="14"/>
        <v>0</v>
      </c>
      <c r="N119" s="124">
        <f t="shared" si="14"/>
        <v>-15706.379999999997</v>
      </c>
      <c r="O119" s="31">
        <v>0</v>
      </c>
      <c r="P119" s="123">
        <v>0</v>
      </c>
    </row>
    <row r="120" spans="1:16" ht="15.75" thickBot="1">
      <c r="A120" s="34" t="s">
        <v>123</v>
      </c>
      <c r="B120" s="359" t="s">
        <v>124</v>
      </c>
      <c r="C120" s="360"/>
      <c r="D120" s="361"/>
      <c r="E120" s="108"/>
      <c r="F120" s="108"/>
      <c r="G120" s="13"/>
      <c r="H120" s="13"/>
      <c r="I120" s="13"/>
      <c r="J120" s="13"/>
      <c r="K120" s="84">
        <f t="shared" si="15"/>
        <v>0</v>
      </c>
      <c r="L120" s="15">
        <f t="shared" si="13"/>
        <v>0</v>
      </c>
      <c r="M120" s="119">
        <f t="shared" si="14"/>
        <v>0</v>
      </c>
      <c r="N120" s="124">
        <f t="shared" si="14"/>
        <v>0</v>
      </c>
      <c r="O120" s="31">
        <v>0</v>
      </c>
      <c r="P120" s="123">
        <v>0</v>
      </c>
    </row>
    <row r="121" spans="1:16" ht="15">
      <c r="A121" s="202"/>
      <c r="B121" s="576" t="s">
        <v>30</v>
      </c>
      <c r="C121" s="576"/>
      <c r="D121" s="576"/>
      <c r="E121" s="576"/>
      <c r="F121" s="576"/>
      <c r="G121" s="576"/>
      <c r="H121" s="576"/>
      <c r="I121" s="576"/>
      <c r="J121" s="576"/>
      <c r="K121" s="576"/>
      <c r="L121" s="576"/>
      <c r="M121" s="576"/>
      <c r="N121" s="576"/>
      <c r="O121" s="576"/>
      <c r="P121" s="577"/>
    </row>
    <row r="122" spans="1:16" ht="5.25" customHeight="1" thickBot="1">
      <c r="A122" s="203"/>
      <c r="B122" s="579"/>
      <c r="C122" s="579"/>
      <c r="D122" s="579"/>
      <c r="E122" s="579"/>
      <c r="F122" s="579"/>
      <c r="G122" s="579"/>
      <c r="H122" s="579"/>
      <c r="I122" s="579"/>
      <c r="J122" s="579"/>
      <c r="K122" s="579"/>
      <c r="L122" s="579"/>
      <c r="M122" s="579"/>
      <c r="N122" s="579"/>
      <c r="O122" s="579"/>
      <c r="P122" s="580"/>
    </row>
    <row r="123" spans="1:16" ht="15.75" thickBot="1">
      <c r="A123" s="204"/>
      <c r="B123" s="599" t="s">
        <v>14</v>
      </c>
      <c r="C123" s="600"/>
      <c r="D123" s="601"/>
      <c r="E123" s="605" t="s">
        <v>24</v>
      </c>
      <c r="F123" s="607" t="s">
        <v>25</v>
      </c>
      <c r="G123" s="609" t="s">
        <v>31</v>
      </c>
      <c r="H123" s="610"/>
      <c r="I123" s="610"/>
      <c r="J123" s="610"/>
      <c r="K123" s="611"/>
      <c r="L123" s="597" t="s">
        <v>16</v>
      </c>
      <c r="M123" s="597" t="s">
        <v>17</v>
      </c>
      <c r="N123" s="597" t="s">
        <v>18</v>
      </c>
      <c r="O123" s="597" t="s">
        <v>19</v>
      </c>
      <c r="P123" s="597" t="s">
        <v>20</v>
      </c>
    </row>
    <row r="124" spans="1:16" ht="74.25" customHeight="1" thickBot="1">
      <c r="A124" s="221"/>
      <c r="B124" s="602"/>
      <c r="C124" s="603"/>
      <c r="D124" s="604"/>
      <c r="E124" s="606"/>
      <c r="F124" s="608"/>
      <c r="G124" s="205" t="s">
        <v>32</v>
      </c>
      <c r="H124" s="205" t="s">
        <v>33</v>
      </c>
      <c r="I124" s="205" t="s">
        <v>34</v>
      </c>
      <c r="J124" s="206" t="s">
        <v>220</v>
      </c>
      <c r="K124" s="207" t="s">
        <v>27</v>
      </c>
      <c r="L124" s="598"/>
      <c r="M124" s="598"/>
      <c r="N124" s="598"/>
      <c r="O124" s="598"/>
      <c r="P124" s="598"/>
    </row>
    <row r="125" spans="1:16" ht="15.75" thickBot="1">
      <c r="A125" s="38"/>
      <c r="B125" s="536">
        <v>1</v>
      </c>
      <c r="C125" s="537"/>
      <c r="D125" s="538"/>
      <c r="E125" s="180" t="s">
        <v>22</v>
      </c>
      <c r="F125" s="225">
        <v>3</v>
      </c>
      <c r="G125" s="225">
        <v>4</v>
      </c>
      <c r="H125" s="225">
        <v>5</v>
      </c>
      <c r="I125" s="175">
        <v>6</v>
      </c>
      <c r="J125" s="175">
        <v>7</v>
      </c>
      <c r="K125" s="192">
        <v>8</v>
      </c>
      <c r="L125" s="229">
        <v>9</v>
      </c>
      <c r="M125" s="175">
        <v>10</v>
      </c>
      <c r="N125" s="229">
        <v>11</v>
      </c>
      <c r="O125" s="175">
        <v>12</v>
      </c>
      <c r="P125" s="229">
        <v>13</v>
      </c>
    </row>
    <row r="126" spans="1:16" ht="24.75" customHeight="1" thickBot="1">
      <c r="A126" s="115" t="s">
        <v>125</v>
      </c>
      <c r="B126" s="514" t="s">
        <v>126</v>
      </c>
      <c r="C126" s="515"/>
      <c r="D126" s="516"/>
      <c r="E126" s="108"/>
      <c r="F126" s="108"/>
      <c r="G126" s="13"/>
      <c r="H126" s="13"/>
      <c r="I126" s="13"/>
      <c r="J126" s="13"/>
      <c r="K126" s="84">
        <f aca="true" t="shared" si="16" ref="K126:K140">G126</f>
        <v>0</v>
      </c>
      <c r="L126" s="15">
        <f aca="true" t="shared" si="17" ref="L126:L140">0+K126</f>
        <v>0</v>
      </c>
      <c r="M126" s="119">
        <f aca="true" t="shared" si="18" ref="M126:N141">E126-K126</f>
        <v>0</v>
      </c>
      <c r="N126" s="124">
        <f t="shared" si="18"/>
        <v>0</v>
      </c>
      <c r="O126" s="31">
        <v>0</v>
      </c>
      <c r="P126" s="123">
        <v>0</v>
      </c>
    </row>
    <row r="127" spans="1:16" ht="29.25" customHeight="1" thickBot="1">
      <c r="A127" s="116" t="s">
        <v>127</v>
      </c>
      <c r="B127" s="427" t="s">
        <v>128</v>
      </c>
      <c r="C127" s="428"/>
      <c r="D127" s="429"/>
      <c r="E127" s="108"/>
      <c r="F127" s="108"/>
      <c r="G127" s="13"/>
      <c r="H127" s="13"/>
      <c r="I127" s="13"/>
      <c r="J127" s="13"/>
      <c r="K127" s="84">
        <f t="shared" si="16"/>
        <v>0</v>
      </c>
      <c r="L127" s="15">
        <f t="shared" si="17"/>
        <v>0</v>
      </c>
      <c r="M127" s="119">
        <f t="shared" si="18"/>
        <v>0</v>
      </c>
      <c r="N127" s="124">
        <f t="shared" si="18"/>
        <v>0</v>
      </c>
      <c r="O127" s="31">
        <v>0</v>
      </c>
      <c r="P127" s="123">
        <v>0</v>
      </c>
    </row>
    <row r="128" spans="1:16" ht="30.75" thickBot="1">
      <c r="A128" s="39" t="s">
        <v>129</v>
      </c>
      <c r="B128" s="359" t="s">
        <v>130</v>
      </c>
      <c r="C128" s="360"/>
      <c r="D128" s="361"/>
      <c r="E128" s="108">
        <v>150000</v>
      </c>
      <c r="F128" s="108">
        <f>0+E128</f>
        <v>150000</v>
      </c>
      <c r="G128" s="13">
        <v>566</v>
      </c>
      <c r="H128" s="13"/>
      <c r="I128" s="13"/>
      <c r="J128" s="13"/>
      <c r="K128" s="84">
        <f>I128+G128</f>
        <v>566</v>
      </c>
      <c r="L128" s="15">
        <f>230429.54+K128</f>
        <v>230995.54</v>
      </c>
      <c r="M128" s="119">
        <f t="shared" si="18"/>
        <v>149434</v>
      </c>
      <c r="N128" s="124">
        <f t="shared" si="18"/>
        <v>-80995.54000000001</v>
      </c>
      <c r="O128" s="31">
        <v>0</v>
      </c>
      <c r="P128" s="123">
        <v>0</v>
      </c>
    </row>
    <row r="129" spans="1:16" ht="30.75" customHeight="1" thickBot="1">
      <c r="A129" s="39" t="s">
        <v>131</v>
      </c>
      <c r="B129" s="387" t="s">
        <v>222</v>
      </c>
      <c r="C129" s="388"/>
      <c r="D129" s="389"/>
      <c r="E129" s="108">
        <v>12750</v>
      </c>
      <c r="F129" s="108">
        <f>38250+E129</f>
        <v>51000</v>
      </c>
      <c r="G129" s="13"/>
      <c r="H129" s="13"/>
      <c r="I129" s="13"/>
      <c r="J129" s="13"/>
      <c r="K129" s="84">
        <f>H129</f>
        <v>0</v>
      </c>
      <c r="L129" s="15">
        <f>153006+K129</f>
        <v>153006</v>
      </c>
      <c r="M129" s="119">
        <f t="shared" si="18"/>
        <v>12750</v>
      </c>
      <c r="N129" s="124">
        <f t="shared" si="18"/>
        <v>-102006</v>
      </c>
      <c r="O129" s="31">
        <v>0</v>
      </c>
      <c r="P129" s="123">
        <v>0</v>
      </c>
    </row>
    <row r="130" spans="1:16" ht="30.75" thickBot="1">
      <c r="A130" s="73" t="s">
        <v>133</v>
      </c>
      <c r="B130" s="359" t="s">
        <v>134</v>
      </c>
      <c r="C130" s="360"/>
      <c r="D130" s="361"/>
      <c r="E130" s="108"/>
      <c r="F130" s="108"/>
      <c r="G130" s="13"/>
      <c r="H130" s="13"/>
      <c r="I130" s="13"/>
      <c r="J130" s="13"/>
      <c r="K130" s="84">
        <f t="shared" si="16"/>
        <v>0</v>
      </c>
      <c r="L130" s="15">
        <f t="shared" si="17"/>
        <v>0</v>
      </c>
      <c r="M130" s="119">
        <f t="shared" si="18"/>
        <v>0</v>
      </c>
      <c r="N130" s="124">
        <f t="shared" si="18"/>
        <v>0</v>
      </c>
      <c r="O130" s="31">
        <v>0</v>
      </c>
      <c r="P130" s="123">
        <v>0</v>
      </c>
    </row>
    <row r="131" spans="1:16" ht="30.75" thickBot="1">
      <c r="A131" s="73" t="s">
        <v>135</v>
      </c>
      <c r="B131" s="511" t="s">
        <v>136</v>
      </c>
      <c r="C131" s="512"/>
      <c r="D131" s="513"/>
      <c r="E131" s="108"/>
      <c r="F131" s="108">
        <f>6000+E131</f>
        <v>6000</v>
      </c>
      <c r="G131" s="13"/>
      <c r="H131" s="13"/>
      <c r="I131" s="13"/>
      <c r="J131" s="13"/>
      <c r="K131" s="84">
        <f t="shared" si="16"/>
        <v>0</v>
      </c>
      <c r="L131" s="15">
        <f>5694.67+K131</f>
        <v>5694.67</v>
      </c>
      <c r="M131" s="119">
        <f t="shared" si="18"/>
        <v>0</v>
      </c>
      <c r="N131" s="124">
        <f t="shared" si="18"/>
        <v>305.3299999999999</v>
      </c>
      <c r="O131" s="31">
        <v>0</v>
      </c>
      <c r="P131" s="123">
        <v>0</v>
      </c>
    </row>
    <row r="132" spans="1:19" ht="27.75" customHeight="1" thickBot="1">
      <c r="A132" s="247">
        <v>15</v>
      </c>
      <c r="B132" s="338" t="s">
        <v>137</v>
      </c>
      <c r="C132" s="338"/>
      <c r="D132" s="339"/>
      <c r="E132" s="108">
        <v>0</v>
      </c>
      <c r="F132" s="108"/>
      <c r="G132" s="32">
        <f>G133+G134</f>
        <v>3200</v>
      </c>
      <c r="H132" s="13"/>
      <c r="I132" s="13"/>
      <c r="J132" s="13"/>
      <c r="K132" s="83">
        <f t="shared" si="16"/>
        <v>3200</v>
      </c>
      <c r="L132" s="23">
        <f>L133+L134</f>
        <v>6400</v>
      </c>
      <c r="M132" s="120">
        <f t="shared" si="18"/>
        <v>-3200</v>
      </c>
      <c r="N132" s="125">
        <f t="shared" si="18"/>
        <v>-6400</v>
      </c>
      <c r="O132" s="26">
        <v>0</v>
      </c>
      <c r="P132" s="27">
        <v>0</v>
      </c>
      <c r="Q132" s="173"/>
      <c r="R132" s="173"/>
      <c r="S132" s="173"/>
    </row>
    <row r="133" spans="1:19" ht="18" customHeight="1" thickBot="1">
      <c r="A133" s="29" t="s">
        <v>187</v>
      </c>
      <c r="B133" s="390" t="s">
        <v>152</v>
      </c>
      <c r="C133" s="391"/>
      <c r="D133" s="392"/>
      <c r="E133" s="112"/>
      <c r="F133" s="108"/>
      <c r="G133" s="13">
        <v>3200</v>
      </c>
      <c r="H133" s="13"/>
      <c r="I133" s="13"/>
      <c r="J133" s="13"/>
      <c r="K133" s="84">
        <f t="shared" si="16"/>
        <v>3200</v>
      </c>
      <c r="L133" s="15">
        <f>3200+K133</f>
        <v>6400</v>
      </c>
      <c r="M133" s="119">
        <f t="shared" si="18"/>
        <v>-3200</v>
      </c>
      <c r="N133" s="124">
        <f t="shared" si="18"/>
        <v>-6400</v>
      </c>
      <c r="O133" s="31">
        <v>0</v>
      </c>
      <c r="P133" s="123">
        <v>0</v>
      </c>
      <c r="Q133" s="173"/>
      <c r="R133" s="173"/>
      <c r="S133" s="173"/>
    </row>
    <row r="134" spans="1:19" ht="29.25" customHeight="1" thickBot="1">
      <c r="A134" s="29" t="s">
        <v>188</v>
      </c>
      <c r="B134" s="340" t="s">
        <v>171</v>
      </c>
      <c r="C134" s="341"/>
      <c r="D134" s="342"/>
      <c r="E134" s="112"/>
      <c r="F134" s="108"/>
      <c r="G134" s="13"/>
      <c r="H134" s="13"/>
      <c r="I134" s="13"/>
      <c r="J134" s="13"/>
      <c r="K134" s="84">
        <f t="shared" si="16"/>
        <v>0</v>
      </c>
      <c r="L134" s="15">
        <f t="shared" si="17"/>
        <v>0</v>
      </c>
      <c r="M134" s="119">
        <f t="shared" si="18"/>
        <v>0</v>
      </c>
      <c r="N134" s="124">
        <f t="shared" si="18"/>
        <v>0</v>
      </c>
      <c r="O134" s="31">
        <v>0</v>
      </c>
      <c r="P134" s="123">
        <v>0</v>
      </c>
      <c r="Q134" s="173"/>
      <c r="R134" s="173"/>
      <c r="S134" s="173"/>
    </row>
    <row r="135" spans="1:19" ht="22.5" customHeight="1" thickBot="1">
      <c r="A135" s="246">
        <v>16</v>
      </c>
      <c r="B135" s="338" t="s">
        <v>138</v>
      </c>
      <c r="C135" s="338"/>
      <c r="D135" s="339"/>
      <c r="E135" s="108">
        <v>0</v>
      </c>
      <c r="F135" s="108"/>
      <c r="G135" s="13"/>
      <c r="H135" s="13"/>
      <c r="I135" s="13"/>
      <c r="J135" s="13"/>
      <c r="K135" s="83">
        <f t="shared" si="16"/>
        <v>0</v>
      </c>
      <c r="L135" s="23">
        <f t="shared" si="17"/>
        <v>0</v>
      </c>
      <c r="M135" s="120">
        <f t="shared" si="18"/>
        <v>0</v>
      </c>
      <c r="N135" s="125">
        <f t="shared" si="18"/>
        <v>0</v>
      </c>
      <c r="O135" s="26">
        <v>0</v>
      </c>
      <c r="P135" s="27">
        <v>0</v>
      </c>
      <c r="Q135" s="173"/>
      <c r="R135" s="173"/>
      <c r="S135" s="173"/>
    </row>
    <row r="136" spans="1:19" ht="20.25" customHeight="1" thickBot="1">
      <c r="A136" s="29" t="s">
        <v>189</v>
      </c>
      <c r="B136" s="390" t="s">
        <v>152</v>
      </c>
      <c r="C136" s="391"/>
      <c r="D136" s="392"/>
      <c r="E136" s="112"/>
      <c r="F136" s="108"/>
      <c r="G136" s="13"/>
      <c r="H136" s="13"/>
      <c r="I136" s="13"/>
      <c r="J136" s="13"/>
      <c r="K136" s="84">
        <f t="shared" si="16"/>
        <v>0</v>
      </c>
      <c r="L136" s="15">
        <f t="shared" si="17"/>
        <v>0</v>
      </c>
      <c r="M136" s="119">
        <f t="shared" si="18"/>
        <v>0</v>
      </c>
      <c r="N136" s="124">
        <f t="shared" si="18"/>
        <v>0</v>
      </c>
      <c r="O136" s="31">
        <v>0</v>
      </c>
      <c r="P136" s="123">
        <v>0</v>
      </c>
      <c r="Q136" s="173"/>
      <c r="R136" s="173"/>
      <c r="S136" s="173"/>
    </row>
    <row r="137" spans="1:19" ht="26.25" customHeight="1" thickBot="1">
      <c r="A137" s="29" t="s">
        <v>190</v>
      </c>
      <c r="B137" s="340" t="s">
        <v>171</v>
      </c>
      <c r="C137" s="341"/>
      <c r="D137" s="342"/>
      <c r="E137" s="112"/>
      <c r="F137" s="108"/>
      <c r="G137" s="13"/>
      <c r="H137" s="13"/>
      <c r="I137" s="13"/>
      <c r="J137" s="13"/>
      <c r="K137" s="84">
        <f t="shared" si="16"/>
        <v>0</v>
      </c>
      <c r="L137" s="15">
        <f t="shared" si="17"/>
        <v>0</v>
      </c>
      <c r="M137" s="119">
        <f t="shared" si="18"/>
        <v>0</v>
      </c>
      <c r="N137" s="124">
        <f t="shared" si="18"/>
        <v>0</v>
      </c>
      <c r="O137" s="31">
        <v>0</v>
      </c>
      <c r="P137" s="123">
        <v>0</v>
      </c>
      <c r="Q137" s="173"/>
      <c r="R137" s="173"/>
      <c r="S137" s="173"/>
    </row>
    <row r="138" spans="1:19" ht="44.25" customHeight="1" thickBot="1">
      <c r="A138" s="40">
        <v>17</v>
      </c>
      <c r="B138" s="338" t="s">
        <v>139</v>
      </c>
      <c r="C138" s="338"/>
      <c r="D138" s="339"/>
      <c r="E138" s="114">
        <v>0</v>
      </c>
      <c r="F138" s="114"/>
      <c r="G138" s="32"/>
      <c r="H138" s="32"/>
      <c r="I138" s="32"/>
      <c r="J138" s="32"/>
      <c r="K138" s="83">
        <f t="shared" si="16"/>
        <v>0</v>
      </c>
      <c r="L138" s="23">
        <f t="shared" si="17"/>
        <v>0</v>
      </c>
      <c r="M138" s="120">
        <f t="shared" si="18"/>
        <v>0</v>
      </c>
      <c r="N138" s="125">
        <f t="shared" si="18"/>
        <v>0</v>
      </c>
      <c r="O138" s="26">
        <v>0</v>
      </c>
      <c r="P138" s="27">
        <v>0</v>
      </c>
      <c r="Q138" s="173"/>
      <c r="R138" s="173"/>
      <c r="S138" s="173"/>
    </row>
    <row r="139" spans="1:19" ht="27" customHeight="1" thickBot="1">
      <c r="A139" s="29" t="s">
        <v>191</v>
      </c>
      <c r="B139" s="340" t="s">
        <v>152</v>
      </c>
      <c r="C139" s="341"/>
      <c r="D139" s="342"/>
      <c r="E139" s="112"/>
      <c r="F139" s="108"/>
      <c r="G139" s="13"/>
      <c r="H139" s="13"/>
      <c r="I139" s="13"/>
      <c r="J139" s="13"/>
      <c r="K139" s="84">
        <f t="shared" si="16"/>
        <v>0</v>
      </c>
      <c r="L139" s="15">
        <f t="shared" si="17"/>
        <v>0</v>
      </c>
      <c r="M139" s="119">
        <f t="shared" si="18"/>
        <v>0</v>
      </c>
      <c r="N139" s="124">
        <f t="shared" si="18"/>
        <v>0</v>
      </c>
      <c r="O139" s="31">
        <v>0</v>
      </c>
      <c r="P139" s="123">
        <v>0</v>
      </c>
      <c r="Q139" s="173"/>
      <c r="R139" s="173"/>
      <c r="S139" s="173"/>
    </row>
    <row r="140" spans="1:19" ht="29.25" customHeight="1" thickBot="1">
      <c r="A140" s="29" t="s">
        <v>192</v>
      </c>
      <c r="B140" s="340" t="s">
        <v>171</v>
      </c>
      <c r="C140" s="341"/>
      <c r="D140" s="342"/>
      <c r="E140" s="112"/>
      <c r="F140" s="108"/>
      <c r="G140" s="13"/>
      <c r="H140" s="13"/>
      <c r="I140" s="13"/>
      <c r="J140" s="13"/>
      <c r="K140" s="84">
        <f t="shared" si="16"/>
        <v>0</v>
      </c>
      <c r="L140" s="15">
        <f t="shared" si="17"/>
        <v>0</v>
      </c>
      <c r="M140" s="119">
        <f t="shared" si="18"/>
        <v>0</v>
      </c>
      <c r="N140" s="124">
        <f t="shared" si="18"/>
        <v>0</v>
      </c>
      <c r="O140" s="31">
        <v>0</v>
      </c>
      <c r="P140" s="123">
        <v>0</v>
      </c>
      <c r="Q140" s="173"/>
      <c r="R140" s="173"/>
      <c r="S140" s="173"/>
    </row>
    <row r="141" spans="1:19" ht="22.5" customHeight="1" thickBot="1">
      <c r="A141" s="40">
        <v>18</v>
      </c>
      <c r="B141" s="323" t="s">
        <v>140</v>
      </c>
      <c r="C141" s="323"/>
      <c r="D141" s="324"/>
      <c r="E141" s="108">
        <v>0</v>
      </c>
      <c r="F141" s="108"/>
      <c r="G141" s="13"/>
      <c r="H141" s="13"/>
      <c r="I141" s="13"/>
      <c r="J141" s="32">
        <v>195522.76</v>
      </c>
      <c r="K141" s="83">
        <f>J141</f>
        <v>195522.76</v>
      </c>
      <c r="L141" s="23">
        <f>633827.38+K141</f>
        <v>829350.14</v>
      </c>
      <c r="M141" s="120">
        <f t="shared" si="18"/>
        <v>-195522.76</v>
      </c>
      <c r="N141" s="125">
        <f t="shared" si="18"/>
        <v>-829350.14</v>
      </c>
      <c r="O141" s="26">
        <v>0</v>
      </c>
      <c r="P141" s="27">
        <v>0</v>
      </c>
      <c r="Q141" s="173"/>
      <c r="R141" s="173"/>
      <c r="S141" s="173"/>
    </row>
    <row r="142" spans="1:19" ht="60.75" thickBot="1">
      <c r="A142" s="43"/>
      <c r="B142" s="328" t="s">
        <v>141</v>
      </c>
      <c r="C142" s="328"/>
      <c r="D142" s="328"/>
      <c r="E142" s="328"/>
      <c r="F142" s="208"/>
      <c r="G142" s="208" t="s">
        <v>4</v>
      </c>
      <c r="H142" s="227" t="s">
        <v>5</v>
      </c>
      <c r="I142" s="532" t="s">
        <v>6</v>
      </c>
      <c r="J142" s="533"/>
      <c r="K142" s="176" t="s">
        <v>11</v>
      </c>
      <c r="L142" s="175" t="s">
        <v>8</v>
      </c>
      <c r="M142" s="175" t="s">
        <v>9</v>
      </c>
      <c r="N142" s="210" t="s">
        <v>10</v>
      </c>
      <c r="O142" s="211"/>
      <c r="P142" s="228"/>
      <c r="Q142" s="173"/>
      <c r="R142" s="173"/>
      <c r="S142" s="173"/>
    </row>
    <row r="143" spans="1:19" ht="23.25" customHeight="1" thickBot="1">
      <c r="A143" s="42"/>
      <c r="B143" s="328" t="s">
        <v>12</v>
      </c>
      <c r="C143" s="328"/>
      <c r="D143" s="328"/>
      <c r="E143" s="329"/>
      <c r="F143" s="47"/>
      <c r="G143" s="47">
        <v>0</v>
      </c>
      <c r="H143" s="3">
        <v>0</v>
      </c>
      <c r="I143" s="330">
        <v>0</v>
      </c>
      <c r="J143" s="331"/>
      <c r="K143" s="86"/>
      <c r="L143" s="3">
        <v>0</v>
      </c>
      <c r="M143" s="217">
        <v>0</v>
      </c>
      <c r="N143" s="217">
        <v>0</v>
      </c>
      <c r="O143" s="3"/>
      <c r="P143" s="3">
        <v>0</v>
      </c>
      <c r="Q143" s="173"/>
      <c r="R143" s="173"/>
      <c r="S143" s="173"/>
    </row>
    <row r="144" spans="1:19" ht="27" customHeight="1" thickBot="1">
      <c r="A144" s="43"/>
      <c r="B144" s="328" t="s">
        <v>13</v>
      </c>
      <c r="C144" s="328"/>
      <c r="D144" s="328"/>
      <c r="E144" s="329"/>
      <c r="F144" s="3"/>
      <c r="G144" s="3">
        <f>F10+G17-G32-G36-G40-G45-G55-G65-G68-G72-G75-G79-G89-G102-G133-G136-G139</f>
        <v>44600.90999999996</v>
      </c>
      <c r="H144" s="3">
        <f>G18+H10-H29</f>
        <v>704854.7200000001</v>
      </c>
      <c r="I144" s="330">
        <f>I10+G19-I104-I66-I97</f>
        <v>3149</v>
      </c>
      <c r="J144" s="331"/>
      <c r="K144" s="86">
        <f>O10+G22-J54</f>
        <v>24767.830000000005</v>
      </c>
      <c r="L144" s="3">
        <f>L10+G23-J141</f>
        <v>64726.01999999999</v>
      </c>
      <c r="M144" s="217">
        <v>0</v>
      </c>
      <c r="N144" s="3">
        <v>0</v>
      </c>
      <c r="O144" s="48"/>
      <c r="P144" s="3">
        <f>SUM(G144:O144)</f>
        <v>842098.48</v>
      </c>
      <c r="Q144" s="173"/>
      <c r="R144" s="173"/>
      <c r="S144" s="18"/>
    </row>
    <row r="145" spans="1:19" ht="24.75" customHeight="1" thickBot="1">
      <c r="A145" s="49"/>
      <c r="B145" s="524" t="s">
        <v>232</v>
      </c>
      <c r="C145" s="524"/>
      <c r="D145" s="524"/>
      <c r="E145" s="525"/>
      <c r="F145" s="346"/>
      <c r="G145" s="346"/>
      <c r="H145" s="346"/>
      <c r="I145" s="346"/>
      <c r="J145" s="346"/>
      <c r="K145" s="346"/>
      <c r="L145" s="346"/>
      <c r="M145" s="346"/>
      <c r="N145" s="347"/>
      <c r="O145" s="348"/>
      <c r="P145" s="50">
        <f>P144</f>
        <v>842098.48</v>
      </c>
      <c r="Q145" s="173"/>
      <c r="R145" s="18">
        <f>P5+L16-L29</f>
        <v>842098.4800000014</v>
      </c>
      <c r="S145" s="18">
        <f>P5+L16-L29</f>
        <v>842098.4800000014</v>
      </c>
    </row>
    <row r="146" spans="1:19" ht="15">
      <c r="A146" s="173"/>
      <c r="B146" s="213"/>
      <c r="C146" s="213"/>
      <c r="D146" s="213"/>
      <c r="E146" s="213"/>
      <c r="F146" s="52"/>
      <c r="G146" s="52"/>
      <c r="H146" s="52"/>
      <c r="I146" s="52"/>
      <c r="J146" s="52"/>
      <c r="K146" s="87"/>
      <c r="L146" s="52"/>
      <c r="M146" s="52"/>
      <c r="N146" s="52"/>
      <c r="O146" s="53"/>
      <c r="P146" s="54"/>
      <c r="Q146" s="173"/>
      <c r="R146" s="18"/>
      <c r="S146" s="173"/>
    </row>
    <row r="147" spans="1:19" ht="15">
      <c r="A147" s="173"/>
      <c r="B147" s="343" t="s">
        <v>142</v>
      </c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9" t="s">
        <v>143</v>
      </c>
      <c r="P147" s="349"/>
      <c r="Q147" s="173"/>
      <c r="R147" s="196">
        <f>P5+L16-L29</f>
        <v>842098.4800000014</v>
      </c>
      <c r="S147" s="18">
        <v>365352.1499999948</v>
      </c>
    </row>
    <row r="148" spans="1:19" ht="15">
      <c r="A148" s="173"/>
      <c r="B148" s="343" t="s">
        <v>144</v>
      </c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 t="s">
        <v>145</v>
      </c>
      <c r="P148" s="343"/>
      <c r="Q148" s="173"/>
      <c r="R148" s="173"/>
      <c r="S148" s="173"/>
    </row>
    <row r="149" spans="1:19" ht="15">
      <c r="A149" s="173"/>
      <c r="B149" s="219"/>
      <c r="C149" s="219"/>
      <c r="D149" s="219"/>
      <c r="E149" s="219"/>
      <c r="F149" s="219"/>
      <c r="G149" s="219"/>
      <c r="H149" s="219"/>
      <c r="I149" s="219"/>
      <c r="J149" s="55"/>
      <c r="K149" s="88"/>
      <c r="L149" s="55"/>
      <c r="M149" s="219"/>
      <c r="N149" s="219"/>
      <c r="O149" s="219"/>
      <c r="P149" s="55"/>
      <c r="Q149" s="173"/>
      <c r="R149" s="18"/>
      <c r="S149" s="173"/>
    </row>
    <row r="151" spans="1:19" ht="15">
      <c r="A151" s="173"/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8"/>
      <c r="S151" s="173"/>
    </row>
    <row r="152" spans="1:19" ht="15">
      <c r="A152" s="173"/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8"/>
      <c r="S152" s="173"/>
    </row>
    <row r="153" spans="1:19" ht="15">
      <c r="A153" s="173"/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8"/>
      <c r="O153" s="173"/>
      <c r="P153" s="173"/>
      <c r="Q153" s="173"/>
      <c r="R153" s="173"/>
      <c r="S153" s="173"/>
    </row>
    <row r="154" spans="12:16" ht="15">
      <c r="L154" s="173"/>
      <c r="M154" s="173"/>
      <c r="N154" s="18"/>
      <c r="O154" s="173"/>
      <c r="P154" s="18"/>
    </row>
    <row r="155" spans="12:16" ht="15">
      <c r="L155" s="173"/>
      <c r="M155" s="173"/>
      <c r="N155" s="214"/>
      <c r="O155" s="173"/>
      <c r="P155" s="18"/>
    </row>
    <row r="156" spans="12:16" ht="15">
      <c r="L156" s="18"/>
      <c r="M156" s="173"/>
      <c r="N156" s="173"/>
      <c r="O156" s="173"/>
      <c r="P156" s="173"/>
    </row>
    <row r="157" spans="12:16" ht="15">
      <c r="L157" s="18"/>
      <c r="M157" s="18"/>
      <c r="N157" s="173"/>
      <c r="O157" s="173"/>
      <c r="P157" s="173"/>
    </row>
  </sheetData>
  <sheetProtection/>
  <mergeCells count="199">
    <mergeCell ref="B1:P1"/>
    <mergeCell ref="B2:P2"/>
    <mergeCell ref="B3:P3"/>
    <mergeCell ref="B4:P4"/>
    <mergeCell ref="B5:E5"/>
    <mergeCell ref="F5:O5"/>
    <mergeCell ref="B9:E9"/>
    <mergeCell ref="F9:G9"/>
    <mergeCell ref="I9:J9"/>
    <mergeCell ref="B10:E10"/>
    <mergeCell ref="F10:G10"/>
    <mergeCell ref="I10:J10"/>
    <mergeCell ref="B6:E6"/>
    <mergeCell ref="F6:O6"/>
    <mergeCell ref="B7:E7"/>
    <mergeCell ref="F7:P7"/>
    <mergeCell ref="B8:E8"/>
    <mergeCell ref="F8:G8"/>
    <mergeCell ref="I8:J8"/>
    <mergeCell ref="P12:P13"/>
    <mergeCell ref="B14:D14"/>
    <mergeCell ref="G14:J14"/>
    <mergeCell ref="A15:A16"/>
    <mergeCell ref="B15:D16"/>
    <mergeCell ref="G15:J15"/>
    <mergeCell ref="G16:J16"/>
    <mergeCell ref="B11:E11"/>
    <mergeCell ref="F11:P11"/>
    <mergeCell ref="A12:A13"/>
    <mergeCell ref="B12:E13"/>
    <mergeCell ref="F12:F13"/>
    <mergeCell ref="G12:K13"/>
    <mergeCell ref="L12:L13"/>
    <mergeCell ref="M12:M13"/>
    <mergeCell ref="N12:N13"/>
    <mergeCell ref="O12:O13"/>
    <mergeCell ref="B20:D20"/>
    <mergeCell ref="G20:J20"/>
    <mergeCell ref="B21:D21"/>
    <mergeCell ref="G21:J21"/>
    <mergeCell ref="B22:D22"/>
    <mergeCell ref="G22:J22"/>
    <mergeCell ref="B17:D17"/>
    <mergeCell ref="G17:J17"/>
    <mergeCell ref="B18:D18"/>
    <mergeCell ref="G18:J18"/>
    <mergeCell ref="B19:D19"/>
    <mergeCell ref="G19:J19"/>
    <mergeCell ref="M26:M27"/>
    <mergeCell ref="N26:N27"/>
    <mergeCell ref="O26:O27"/>
    <mergeCell ref="P26:P27"/>
    <mergeCell ref="B28:D28"/>
    <mergeCell ref="B29:D29"/>
    <mergeCell ref="B23:D23"/>
    <mergeCell ref="G23:J23"/>
    <mergeCell ref="A24:A25"/>
    <mergeCell ref="B24:P25"/>
    <mergeCell ref="A26:A27"/>
    <mergeCell ref="B26:D27"/>
    <mergeCell ref="E26:E27"/>
    <mergeCell ref="F26:F27"/>
    <mergeCell ref="G26:K26"/>
    <mergeCell ref="L26:L27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49:D49"/>
    <mergeCell ref="B50:D50"/>
    <mergeCell ref="B51:D51"/>
    <mergeCell ref="B52:D52"/>
    <mergeCell ref="B54:D54"/>
    <mergeCell ref="B55:D55"/>
    <mergeCell ref="B42:D42"/>
    <mergeCell ref="B43:D43"/>
    <mergeCell ref="B44:D44"/>
    <mergeCell ref="B45:D45"/>
    <mergeCell ref="B46:D46"/>
    <mergeCell ref="B48:D48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75:D75"/>
    <mergeCell ref="B76:D76"/>
    <mergeCell ref="B78:D78"/>
    <mergeCell ref="B80:D80"/>
    <mergeCell ref="B81:D81"/>
    <mergeCell ref="A83:A84"/>
    <mergeCell ref="B83:P84"/>
    <mergeCell ref="B68:D68"/>
    <mergeCell ref="B69:D69"/>
    <mergeCell ref="B70:D70"/>
    <mergeCell ref="B71:D71"/>
    <mergeCell ref="B73:D73"/>
    <mergeCell ref="B74:D74"/>
    <mergeCell ref="B72:D72"/>
    <mergeCell ref="P85:P86"/>
    <mergeCell ref="B87:D87"/>
    <mergeCell ref="B88:D88"/>
    <mergeCell ref="A85:A86"/>
    <mergeCell ref="B85:D86"/>
    <mergeCell ref="E85:E86"/>
    <mergeCell ref="F85:F86"/>
    <mergeCell ref="G85:K85"/>
    <mergeCell ref="L85:L86"/>
    <mergeCell ref="B89:D89"/>
    <mergeCell ref="B90:D90"/>
    <mergeCell ref="B91:D91"/>
    <mergeCell ref="B92:D92"/>
    <mergeCell ref="B93:D93"/>
    <mergeCell ref="B94:D94"/>
    <mergeCell ref="M85:M86"/>
    <mergeCell ref="N85:N86"/>
    <mergeCell ref="O85:O86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B113:D113"/>
    <mergeCell ref="B114:D114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  <mergeCell ref="B112:D112"/>
    <mergeCell ref="O123:O124"/>
    <mergeCell ref="P123:P124"/>
    <mergeCell ref="B125:D125"/>
    <mergeCell ref="B126:D126"/>
    <mergeCell ref="B127:D127"/>
    <mergeCell ref="B128:D128"/>
    <mergeCell ref="B119:D119"/>
    <mergeCell ref="B120:D120"/>
    <mergeCell ref="B121:P122"/>
    <mergeCell ref="B123:D124"/>
    <mergeCell ref="E123:E124"/>
    <mergeCell ref="F123:F124"/>
    <mergeCell ref="G123:K123"/>
    <mergeCell ref="L123:L124"/>
    <mergeCell ref="M123:M124"/>
    <mergeCell ref="N123:N124"/>
    <mergeCell ref="B135:D135"/>
    <mergeCell ref="B136:D136"/>
    <mergeCell ref="B137:D137"/>
    <mergeCell ref="B138:D138"/>
    <mergeCell ref="B139:D139"/>
    <mergeCell ref="B140:D140"/>
    <mergeCell ref="B129:D129"/>
    <mergeCell ref="B130:D130"/>
    <mergeCell ref="B131:D131"/>
    <mergeCell ref="B132:D132"/>
    <mergeCell ref="B133:D133"/>
    <mergeCell ref="B134:D134"/>
    <mergeCell ref="B145:E145"/>
    <mergeCell ref="F145:O145"/>
    <mergeCell ref="B147:E147"/>
    <mergeCell ref="F147:N147"/>
    <mergeCell ref="O147:P147"/>
    <mergeCell ref="B148:E148"/>
    <mergeCell ref="F148:N148"/>
    <mergeCell ref="O148:P148"/>
    <mergeCell ref="B141:D141"/>
    <mergeCell ref="B142:E142"/>
    <mergeCell ref="I142:J142"/>
    <mergeCell ref="B143:E143"/>
    <mergeCell ref="I143:J143"/>
    <mergeCell ref="B144:E144"/>
    <mergeCell ref="I144:J144"/>
  </mergeCells>
  <printOptions/>
  <pageMargins left="0.17" right="0.17" top="0.34" bottom="0.29" header="0.19" footer="0.18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7"/>
  <sheetViews>
    <sheetView zoomScalePageLayoutView="0" workbookViewId="0" topLeftCell="A88">
      <selection activeCell="G136" sqref="G136"/>
    </sheetView>
  </sheetViews>
  <sheetFormatPr defaultColWidth="9.140625" defaultRowHeight="15"/>
  <cols>
    <col min="1" max="1" width="4.140625" style="174" customWidth="1"/>
    <col min="2" max="3" width="9.140625" style="174" customWidth="1"/>
    <col min="4" max="4" width="9.28125" style="174" customWidth="1"/>
    <col min="5" max="5" width="12.8515625" style="174" customWidth="1"/>
    <col min="6" max="6" width="15.140625" style="174" customWidth="1"/>
    <col min="7" max="7" width="13.140625" style="174" customWidth="1"/>
    <col min="8" max="8" width="12.8515625" style="174" customWidth="1"/>
    <col min="9" max="9" width="10.140625" style="174" customWidth="1"/>
    <col min="10" max="10" width="11.421875" style="174" customWidth="1"/>
    <col min="11" max="11" width="13.00390625" style="174" customWidth="1"/>
    <col min="12" max="12" width="14.8515625" style="174" customWidth="1"/>
    <col min="13" max="13" width="13.421875" style="174" customWidth="1"/>
    <col min="14" max="14" width="13.28125" style="174" customWidth="1"/>
    <col min="15" max="15" width="8.421875" style="174" customWidth="1"/>
    <col min="16" max="16" width="10.421875" style="174" customWidth="1"/>
    <col min="17" max="17" width="9.140625" style="174" customWidth="1"/>
    <col min="18" max="18" width="10.421875" style="174" bestFit="1" customWidth="1"/>
    <col min="19" max="19" width="11.140625" style="174" bestFit="1" customWidth="1"/>
    <col min="20" max="16384" width="9.140625" style="174" customWidth="1"/>
  </cols>
  <sheetData>
    <row r="1" spans="1:16" ht="15">
      <c r="A1" s="173"/>
      <c r="B1" s="485" t="s">
        <v>0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</row>
    <row r="2" spans="1:16" ht="15">
      <c r="A2" s="173"/>
      <c r="B2" s="520" t="s">
        <v>233</v>
      </c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</row>
    <row r="3" spans="1:16" ht="15.75" thickBot="1">
      <c r="A3" s="173"/>
      <c r="B3" s="521" t="s">
        <v>1</v>
      </c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</row>
    <row r="4" spans="1:16" ht="15.75" thickBot="1">
      <c r="A4" s="173"/>
      <c r="B4" s="522" t="s">
        <v>2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</row>
    <row r="5" spans="1:16" ht="18.75" customHeight="1" thickBot="1">
      <c r="A5" s="2"/>
      <c r="B5" s="523" t="s">
        <v>193</v>
      </c>
      <c r="C5" s="524"/>
      <c r="D5" s="524"/>
      <c r="E5" s="525"/>
      <c r="F5" s="346"/>
      <c r="G5" s="346"/>
      <c r="H5" s="346"/>
      <c r="I5" s="346"/>
      <c r="J5" s="346"/>
      <c r="K5" s="346"/>
      <c r="L5" s="346"/>
      <c r="M5" s="346"/>
      <c r="N5" s="346"/>
      <c r="O5" s="489"/>
      <c r="P5" s="3">
        <v>365352.15</v>
      </c>
    </row>
    <row r="6" spans="1:16" ht="19.5" customHeight="1" thickBot="1">
      <c r="A6" s="2"/>
      <c r="B6" s="523" t="s">
        <v>234</v>
      </c>
      <c r="C6" s="524"/>
      <c r="D6" s="524"/>
      <c r="E6" s="525"/>
      <c r="F6" s="346"/>
      <c r="G6" s="346"/>
      <c r="H6" s="346"/>
      <c r="I6" s="346"/>
      <c r="J6" s="346"/>
      <c r="K6" s="346"/>
      <c r="L6" s="346"/>
      <c r="M6" s="346"/>
      <c r="N6" s="346"/>
      <c r="O6" s="489"/>
      <c r="P6" s="233">
        <f>P10</f>
        <v>842098.48</v>
      </c>
    </row>
    <row r="7" spans="1:16" ht="15.75" thickBot="1">
      <c r="A7" s="2"/>
      <c r="B7" s="526"/>
      <c r="C7" s="527"/>
      <c r="D7" s="527"/>
      <c r="E7" s="528"/>
      <c r="F7" s="529"/>
      <c r="G7" s="529"/>
      <c r="H7" s="529"/>
      <c r="I7" s="529"/>
      <c r="J7" s="529"/>
      <c r="K7" s="529"/>
      <c r="L7" s="529"/>
      <c r="M7" s="529"/>
      <c r="N7" s="530"/>
      <c r="O7" s="530"/>
      <c r="P7" s="531"/>
    </row>
    <row r="8" spans="1:16" ht="75.75" thickBot="1">
      <c r="A8" s="4"/>
      <c r="B8" s="523" t="s">
        <v>3</v>
      </c>
      <c r="C8" s="524"/>
      <c r="D8" s="524"/>
      <c r="E8" s="525"/>
      <c r="F8" s="532" t="s">
        <v>4</v>
      </c>
      <c r="G8" s="533"/>
      <c r="H8" s="175" t="s">
        <v>5</v>
      </c>
      <c r="I8" s="532" t="s">
        <v>6</v>
      </c>
      <c r="J8" s="533"/>
      <c r="K8" s="176" t="s">
        <v>7</v>
      </c>
      <c r="L8" s="175" t="s">
        <v>8</v>
      </c>
      <c r="M8" s="241" t="s">
        <v>9</v>
      </c>
      <c r="N8" s="239" t="s">
        <v>10</v>
      </c>
      <c r="O8" s="178" t="s">
        <v>11</v>
      </c>
      <c r="P8" s="179"/>
    </row>
    <row r="9" spans="1:16" ht="15.75" thickBot="1">
      <c r="A9" s="2"/>
      <c r="B9" s="490" t="s">
        <v>12</v>
      </c>
      <c r="C9" s="491"/>
      <c r="D9" s="491"/>
      <c r="E9" s="492"/>
      <c r="F9" s="330">
        <v>0</v>
      </c>
      <c r="G9" s="331"/>
      <c r="H9" s="3">
        <v>0</v>
      </c>
      <c r="I9" s="330">
        <v>0</v>
      </c>
      <c r="J9" s="331"/>
      <c r="K9" s="78">
        <v>0</v>
      </c>
      <c r="L9" s="3">
        <v>0</v>
      </c>
      <c r="M9" s="232">
        <v>0</v>
      </c>
      <c r="N9" s="3">
        <v>0</v>
      </c>
      <c r="O9" s="75">
        <v>0</v>
      </c>
      <c r="P9" s="233">
        <v>0</v>
      </c>
    </row>
    <row r="10" spans="1:16" ht="22.5" customHeight="1" thickBot="1">
      <c r="A10" s="2"/>
      <c r="B10" s="490" t="s">
        <v>13</v>
      </c>
      <c r="C10" s="491"/>
      <c r="D10" s="491"/>
      <c r="E10" s="492"/>
      <c r="F10" s="330">
        <v>44600.91</v>
      </c>
      <c r="G10" s="331"/>
      <c r="H10" s="3">
        <v>704854.72</v>
      </c>
      <c r="I10" s="330">
        <v>3149</v>
      </c>
      <c r="J10" s="331"/>
      <c r="K10" s="78">
        <v>0</v>
      </c>
      <c r="L10" s="3">
        <v>64726.02</v>
      </c>
      <c r="M10" s="232">
        <v>0</v>
      </c>
      <c r="N10" s="3">
        <v>0</v>
      </c>
      <c r="O10" s="3">
        <v>24767.83</v>
      </c>
      <c r="P10" s="233">
        <f>SUM(F10:O10)</f>
        <v>842098.48</v>
      </c>
    </row>
    <row r="11" spans="1:16" ht="15.75" thickBot="1">
      <c r="A11" s="235"/>
      <c r="B11" s="546"/>
      <c r="C11" s="547"/>
      <c r="D11" s="547"/>
      <c r="E11" s="547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9"/>
    </row>
    <row r="12" spans="1:16" ht="15">
      <c r="A12" s="446"/>
      <c r="B12" s="550" t="s">
        <v>14</v>
      </c>
      <c r="C12" s="551"/>
      <c r="D12" s="551"/>
      <c r="E12" s="552"/>
      <c r="F12" s="534"/>
      <c r="G12" s="556" t="s">
        <v>15</v>
      </c>
      <c r="H12" s="548"/>
      <c r="I12" s="548"/>
      <c r="J12" s="548"/>
      <c r="K12" s="549"/>
      <c r="L12" s="534" t="s">
        <v>16</v>
      </c>
      <c r="M12" s="534" t="s">
        <v>17</v>
      </c>
      <c r="N12" s="534" t="s">
        <v>18</v>
      </c>
      <c r="O12" s="534" t="s">
        <v>19</v>
      </c>
      <c r="P12" s="534" t="s">
        <v>20</v>
      </c>
    </row>
    <row r="13" spans="1:16" ht="27.75" customHeight="1" thickBot="1">
      <c r="A13" s="447"/>
      <c r="B13" s="553"/>
      <c r="C13" s="554"/>
      <c r="D13" s="554"/>
      <c r="E13" s="555"/>
      <c r="F13" s="535"/>
      <c r="G13" s="557"/>
      <c r="H13" s="558"/>
      <c r="I13" s="558"/>
      <c r="J13" s="558"/>
      <c r="K13" s="559"/>
      <c r="L13" s="535"/>
      <c r="M13" s="535"/>
      <c r="N13" s="535"/>
      <c r="O13" s="535"/>
      <c r="P13" s="535"/>
    </row>
    <row r="14" spans="1:16" ht="15.75" thickBot="1">
      <c r="A14" s="2"/>
      <c r="B14" s="536" t="s">
        <v>21</v>
      </c>
      <c r="C14" s="537"/>
      <c r="D14" s="538"/>
      <c r="E14" s="180" t="s">
        <v>22</v>
      </c>
      <c r="F14" s="245">
        <v>3</v>
      </c>
      <c r="G14" s="539">
        <v>4</v>
      </c>
      <c r="H14" s="529"/>
      <c r="I14" s="529"/>
      <c r="J14" s="531"/>
      <c r="K14" s="182">
        <v>5</v>
      </c>
      <c r="L14" s="244">
        <v>6</v>
      </c>
      <c r="M14" s="175">
        <v>7</v>
      </c>
      <c r="N14" s="244">
        <v>8</v>
      </c>
      <c r="O14" s="244">
        <v>9</v>
      </c>
      <c r="P14" s="175">
        <v>10</v>
      </c>
    </row>
    <row r="15" spans="1:16" ht="29.25" thickBot="1">
      <c r="A15" s="446"/>
      <c r="B15" s="540" t="s">
        <v>23</v>
      </c>
      <c r="C15" s="541"/>
      <c r="D15" s="542"/>
      <c r="E15" s="8" t="s">
        <v>24</v>
      </c>
      <c r="F15" s="8" t="s">
        <v>25</v>
      </c>
      <c r="G15" s="471" t="s">
        <v>26</v>
      </c>
      <c r="H15" s="472"/>
      <c r="I15" s="472"/>
      <c r="J15" s="473"/>
      <c r="K15" s="79" t="s">
        <v>27</v>
      </c>
      <c r="L15" s="9" t="s">
        <v>26</v>
      </c>
      <c r="M15" s="10" t="s">
        <v>28</v>
      </c>
      <c r="N15" s="10" t="s">
        <v>26</v>
      </c>
      <c r="O15" s="10" t="s">
        <v>26</v>
      </c>
      <c r="P15" s="11" t="s">
        <v>26</v>
      </c>
    </row>
    <row r="16" spans="1:16" ht="21.75" customHeight="1" thickBot="1">
      <c r="A16" s="447"/>
      <c r="B16" s="543"/>
      <c r="C16" s="544"/>
      <c r="D16" s="545"/>
      <c r="E16" s="109">
        <f>SUM(E17:E23)</f>
        <v>2691207</v>
      </c>
      <c r="F16" s="110">
        <f>SUM(F17:F23)</f>
        <v>10506286</v>
      </c>
      <c r="G16" s="474">
        <f>G17+G18+G19+G20+G21+G22+G23</f>
        <v>2707535.9200000004</v>
      </c>
      <c r="H16" s="475"/>
      <c r="I16" s="475"/>
      <c r="J16" s="476"/>
      <c r="K16" s="238">
        <f>SUM(K17:K23)</f>
        <v>2707535.9200000004</v>
      </c>
      <c r="L16" s="238">
        <f>SUM(L17:L23)</f>
        <v>11244785.790000001</v>
      </c>
      <c r="M16" s="238">
        <f>SUM(M17:M23)</f>
        <v>-16328.919999999947</v>
      </c>
      <c r="N16" s="238">
        <f>SUM(N17:N23)</f>
        <v>-738499.7900000006</v>
      </c>
      <c r="O16" s="12">
        <v>0</v>
      </c>
      <c r="P16" s="12">
        <v>0</v>
      </c>
    </row>
    <row r="17" spans="1:18" ht="63" customHeight="1" thickBot="1">
      <c r="A17" s="184" t="s">
        <v>195</v>
      </c>
      <c r="B17" s="497" t="s">
        <v>146</v>
      </c>
      <c r="C17" s="498"/>
      <c r="D17" s="499"/>
      <c r="E17" s="108">
        <v>2025269</v>
      </c>
      <c r="F17" s="108">
        <f>4579457+E17</f>
        <v>6604726</v>
      </c>
      <c r="G17" s="450">
        <v>1865361.45</v>
      </c>
      <c r="H17" s="451"/>
      <c r="I17" s="451"/>
      <c r="J17" s="452"/>
      <c r="K17" s="237">
        <f aca="true" t="shared" si="0" ref="K17:K22">G17</f>
        <v>1865361.45</v>
      </c>
      <c r="L17" s="15">
        <f>4280642.65+K17</f>
        <v>6146004.100000001</v>
      </c>
      <c r="M17" s="119">
        <f>E17-K17</f>
        <v>159907.55000000005</v>
      </c>
      <c r="N17" s="124">
        <f>F17-L17</f>
        <v>458721.89999999944</v>
      </c>
      <c r="O17" s="16">
        <v>0</v>
      </c>
      <c r="P17" s="16">
        <v>0</v>
      </c>
      <c r="Q17" s="173"/>
      <c r="R17" s="18">
        <v>365352.1499999948</v>
      </c>
    </row>
    <row r="18" spans="1:18" ht="48.75" customHeight="1" thickBot="1">
      <c r="A18" s="185" t="s">
        <v>196</v>
      </c>
      <c r="B18" s="566" t="s">
        <v>216</v>
      </c>
      <c r="C18" s="567"/>
      <c r="D18" s="568"/>
      <c r="E18" s="104">
        <v>660338</v>
      </c>
      <c r="F18" s="108">
        <f>3187622+E18</f>
        <v>3847960</v>
      </c>
      <c r="G18" s="450">
        <v>757379</v>
      </c>
      <c r="H18" s="451"/>
      <c r="I18" s="451"/>
      <c r="J18" s="452"/>
      <c r="K18" s="237">
        <f t="shared" si="0"/>
        <v>757379</v>
      </c>
      <c r="L18" s="15">
        <f>3350832+K18</f>
        <v>4108211</v>
      </c>
      <c r="M18" s="119">
        <f>E18-K18</f>
        <v>-97041</v>
      </c>
      <c r="N18" s="124">
        <f aca="true" t="shared" si="1" ref="M18:N23">F18-L18</f>
        <v>-260251</v>
      </c>
      <c r="O18" s="16">
        <v>0</v>
      </c>
      <c r="P18" s="16">
        <v>0</v>
      </c>
      <c r="Q18" s="173"/>
      <c r="R18" s="173"/>
    </row>
    <row r="19" spans="1:18" ht="36.75" customHeight="1" thickBot="1">
      <c r="A19" s="185" t="s">
        <v>197</v>
      </c>
      <c r="B19" s="569" t="s">
        <v>149</v>
      </c>
      <c r="C19" s="570"/>
      <c r="D19" s="571"/>
      <c r="E19" s="186"/>
      <c r="F19" s="108">
        <f>0+E19</f>
        <v>0</v>
      </c>
      <c r="G19" s="450"/>
      <c r="H19" s="451"/>
      <c r="I19" s="451"/>
      <c r="J19" s="452"/>
      <c r="K19" s="237">
        <f t="shared" si="0"/>
        <v>0</v>
      </c>
      <c r="L19" s="15">
        <f>117320+K19</f>
        <v>117320</v>
      </c>
      <c r="M19" s="119">
        <f t="shared" si="1"/>
        <v>0</v>
      </c>
      <c r="N19" s="124">
        <f t="shared" si="1"/>
        <v>-117320</v>
      </c>
      <c r="O19" s="16">
        <v>0</v>
      </c>
      <c r="P19" s="17">
        <v>0</v>
      </c>
      <c r="Q19" s="173"/>
      <c r="R19" s="173"/>
    </row>
    <row r="20" spans="1:18" ht="57.75" customHeight="1" thickBot="1">
      <c r="A20" s="187" t="s">
        <v>198</v>
      </c>
      <c r="B20" s="560" t="s">
        <v>147</v>
      </c>
      <c r="C20" s="561"/>
      <c r="D20" s="562"/>
      <c r="E20" s="188"/>
      <c r="F20" s="108">
        <f>0+E20</f>
        <v>0</v>
      </c>
      <c r="G20" s="450"/>
      <c r="H20" s="451"/>
      <c r="I20" s="451"/>
      <c r="J20" s="452"/>
      <c r="K20" s="237">
        <f t="shared" si="0"/>
        <v>0</v>
      </c>
      <c r="L20" s="15">
        <f>0+K20</f>
        <v>0</v>
      </c>
      <c r="M20" s="119">
        <f t="shared" si="1"/>
        <v>0</v>
      </c>
      <c r="N20" s="124">
        <f t="shared" si="1"/>
        <v>0</v>
      </c>
      <c r="O20" s="16">
        <v>0</v>
      </c>
      <c r="P20" s="16">
        <v>0</v>
      </c>
      <c r="Q20" s="18"/>
      <c r="R20" s="18"/>
    </row>
    <row r="21" spans="1:18" ht="37.5" customHeight="1" thickBot="1">
      <c r="A21" s="189" t="s">
        <v>199</v>
      </c>
      <c r="B21" s="563" t="s">
        <v>148</v>
      </c>
      <c r="C21" s="564"/>
      <c r="D21" s="565"/>
      <c r="E21" s="190"/>
      <c r="F21" s="108">
        <f>0+E21</f>
        <v>0</v>
      </c>
      <c r="G21" s="450"/>
      <c r="H21" s="451"/>
      <c r="I21" s="451"/>
      <c r="J21" s="452"/>
      <c r="K21" s="237">
        <f t="shared" si="0"/>
        <v>0</v>
      </c>
      <c r="L21" s="15">
        <f>0+K21</f>
        <v>0</v>
      </c>
      <c r="M21" s="119">
        <f t="shared" si="1"/>
        <v>0</v>
      </c>
      <c r="N21" s="124">
        <f t="shared" si="1"/>
        <v>0</v>
      </c>
      <c r="O21" s="16">
        <v>0</v>
      </c>
      <c r="P21" s="16">
        <v>0</v>
      </c>
      <c r="Q21" s="18"/>
      <c r="R21" s="173"/>
    </row>
    <row r="22" spans="1:18" ht="47.25" customHeight="1" thickBot="1">
      <c r="A22" s="189" t="s">
        <v>200</v>
      </c>
      <c r="B22" s="497" t="s">
        <v>201</v>
      </c>
      <c r="C22" s="498"/>
      <c r="D22" s="499"/>
      <c r="E22" s="82">
        <v>5600</v>
      </c>
      <c r="F22" s="108">
        <f>48000+E22</f>
        <v>53600</v>
      </c>
      <c r="G22" s="450">
        <v>13624.68</v>
      </c>
      <c r="H22" s="451"/>
      <c r="I22" s="451"/>
      <c r="J22" s="452"/>
      <c r="K22" s="237">
        <f t="shared" si="0"/>
        <v>13624.68</v>
      </c>
      <c r="L22" s="15">
        <f>51586.16+K22</f>
        <v>65210.840000000004</v>
      </c>
      <c r="M22" s="119">
        <f>E22-K22</f>
        <v>-8024.68</v>
      </c>
      <c r="N22" s="124">
        <f t="shared" si="1"/>
        <v>-11610.840000000004</v>
      </c>
      <c r="O22" s="16">
        <v>0</v>
      </c>
      <c r="P22" s="16">
        <v>0</v>
      </c>
      <c r="Q22" s="173"/>
      <c r="R22" s="173"/>
    </row>
    <row r="23" spans="1:18" ht="42.75" customHeight="1" thickBot="1">
      <c r="A23" s="189" t="s">
        <v>202</v>
      </c>
      <c r="B23" s="572" t="s">
        <v>140</v>
      </c>
      <c r="C23" s="573"/>
      <c r="D23" s="574"/>
      <c r="E23" s="14"/>
      <c r="F23" s="108"/>
      <c r="G23" s="450">
        <v>71170.79</v>
      </c>
      <c r="H23" s="451"/>
      <c r="I23" s="451"/>
      <c r="J23" s="452"/>
      <c r="K23" s="237">
        <f>G23</f>
        <v>71170.79</v>
      </c>
      <c r="L23" s="15">
        <f>736869.06+K23</f>
        <v>808039.8500000001</v>
      </c>
      <c r="M23" s="119">
        <f t="shared" si="1"/>
        <v>-71170.79</v>
      </c>
      <c r="N23" s="124">
        <f t="shared" si="1"/>
        <v>-808039.8500000001</v>
      </c>
      <c r="O23" s="16">
        <v>0</v>
      </c>
      <c r="P23" s="16">
        <v>0</v>
      </c>
      <c r="Q23" s="173"/>
      <c r="R23" s="173"/>
    </row>
    <row r="24" spans="1:18" ht="15">
      <c r="A24" s="446"/>
      <c r="B24" s="575" t="s">
        <v>30</v>
      </c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7"/>
      <c r="Q24" s="173"/>
      <c r="R24" s="173"/>
    </row>
    <row r="25" spans="1:18" ht="30" customHeight="1" thickBot="1">
      <c r="A25" s="447"/>
      <c r="B25" s="578"/>
      <c r="C25" s="579"/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579"/>
      <c r="P25" s="580"/>
      <c r="Q25" s="173"/>
      <c r="R25" s="173"/>
    </row>
    <row r="26" spans="1:18" ht="15.75" thickBot="1">
      <c r="A26" s="446"/>
      <c r="B26" s="550" t="s">
        <v>14</v>
      </c>
      <c r="C26" s="551"/>
      <c r="D26" s="552"/>
      <c r="E26" s="581" t="s">
        <v>24</v>
      </c>
      <c r="F26" s="583" t="s">
        <v>25</v>
      </c>
      <c r="G26" s="532" t="s">
        <v>31</v>
      </c>
      <c r="H26" s="522"/>
      <c r="I26" s="522"/>
      <c r="J26" s="522"/>
      <c r="K26" s="533"/>
      <c r="L26" s="534" t="s">
        <v>16</v>
      </c>
      <c r="M26" s="534" t="s">
        <v>17</v>
      </c>
      <c r="N26" s="534" t="s">
        <v>18</v>
      </c>
      <c r="O26" s="534" t="s">
        <v>19</v>
      </c>
      <c r="P26" s="534" t="s">
        <v>20</v>
      </c>
      <c r="Q26" s="173"/>
      <c r="R26" s="173"/>
    </row>
    <row r="27" spans="1:18" ht="92.25" customHeight="1" thickBot="1">
      <c r="A27" s="447"/>
      <c r="B27" s="553"/>
      <c r="C27" s="554"/>
      <c r="D27" s="555"/>
      <c r="E27" s="582"/>
      <c r="F27" s="584"/>
      <c r="G27" s="240" t="s">
        <v>32</v>
      </c>
      <c r="H27" s="240" t="s">
        <v>33</v>
      </c>
      <c r="I27" s="240" t="s">
        <v>34</v>
      </c>
      <c r="J27" s="175" t="s">
        <v>220</v>
      </c>
      <c r="K27" s="176" t="s">
        <v>27</v>
      </c>
      <c r="L27" s="535"/>
      <c r="M27" s="535"/>
      <c r="N27" s="535"/>
      <c r="O27" s="535"/>
      <c r="P27" s="535"/>
      <c r="Q27" s="173"/>
      <c r="R27" s="18">
        <v>365352.1499999948</v>
      </c>
    </row>
    <row r="28" spans="1:18" ht="15.75" thickBot="1">
      <c r="A28" s="2"/>
      <c r="B28" s="536">
        <v>1</v>
      </c>
      <c r="C28" s="537"/>
      <c r="D28" s="538"/>
      <c r="E28" s="180" t="s">
        <v>22</v>
      </c>
      <c r="F28" s="240">
        <v>3</v>
      </c>
      <c r="G28" s="240">
        <v>4</v>
      </c>
      <c r="H28" s="240">
        <v>5</v>
      </c>
      <c r="I28" s="175">
        <v>6</v>
      </c>
      <c r="J28" s="175">
        <v>7</v>
      </c>
      <c r="K28" s="192">
        <v>8</v>
      </c>
      <c r="L28" s="244">
        <v>9</v>
      </c>
      <c r="M28" s="175">
        <v>10</v>
      </c>
      <c r="N28" s="244">
        <v>11</v>
      </c>
      <c r="O28" s="175">
        <v>12</v>
      </c>
      <c r="P28" s="244">
        <v>13</v>
      </c>
      <c r="Q28" s="173"/>
      <c r="R28" s="173"/>
    </row>
    <row r="29" spans="1:18" ht="22.5" customHeight="1" thickBot="1">
      <c r="A29" s="2"/>
      <c r="B29" s="539" t="s">
        <v>23</v>
      </c>
      <c r="C29" s="529"/>
      <c r="D29" s="531"/>
      <c r="E29" s="76">
        <f aca="true" t="shared" si="2" ref="E29:J29">E30+E34+E38+E44+E51+E54+E64+E67+E71+E74+E78+E80+E88+E101+E132+E135+E138+E141</f>
        <v>2691207</v>
      </c>
      <c r="F29" s="76">
        <f t="shared" si="2"/>
        <v>10506304</v>
      </c>
      <c r="G29" s="76">
        <f t="shared" si="2"/>
        <v>1621606.76</v>
      </c>
      <c r="H29" s="76">
        <f t="shared" si="2"/>
        <v>1071729.65</v>
      </c>
      <c r="I29" s="76">
        <f t="shared" si="2"/>
        <v>0</v>
      </c>
      <c r="J29" s="76">
        <f t="shared" si="2"/>
        <v>138129.68</v>
      </c>
      <c r="K29" s="76">
        <f>K30+K34+K38+K44+K51+K54+K64+K67+K71+K74+K78+K80+K88+K101+K132+K135+K138+K141</f>
        <v>2831466.0900000003</v>
      </c>
      <c r="L29" s="76">
        <f>L30+L34+L38+L44+L51+L54+L64+L67+L71+L74+L78+L80+L88+L101+L132+L135+L138+L141</f>
        <v>10891969.63</v>
      </c>
      <c r="M29" s="76">
        <f>M30+M34+M38+M44+M51+M54+M64+M67+M71+M74+M78+M80+M88+M101+M132+M135+M138+M141</f>
        <v>-140259.08999999997</v>
      </c>
      <c r="N29" s="76">
        <f>N30+N34+N38+N44+N51+N54+N64+N67+N71+N74+N78+N80+N88+N101+N132+N135+N138+N141</f>
        <v>-385665.63000000024</v>
      </c>
      <c r="O29" s="21">
        <v>0</v>
      </c>
      <c r="P29" s="21">
        <v>0</v>
      </c>
      <c r="Q29" s="173"/>
      <c r="R29" s="18"/>
    </row>
    <row r="30" spans="1:18" ht="21.75" customHeight="1" thickBot="1">
      <c r="A30" s="22" t="s">
        <v>21</v>
      </c>
      <c r="B30" s="426" t="s">
        <v>36</v>
      </c>
      <c r="C30" s="338"/>
      <c r="D30" s="339"/>
      <c r="E30" s="111">
        <f>SUM(E31:E32)</f>
        <v>1801998</v>
      </c>
      <c r="F30" s="81">
        <f>F31+F32+F33</f>
        <v>5718613</v>
      </c>
      <c r="G30" s="20">
        <f>G31+G32+G33</f>
        <v>678744.02</v>
      </c>
      <c r="H30" s="20">
        <f>H31</f>
        <v>950956.15</v>
      </c>
      <c r="I30" s="20"/>
      <c r="J30" s="20"/>
      <c r="K30" s="81">
        <f>G30+H30</f>
        <v>1629700.17</v>
      </c>
      <c r="L30" s="23">
        <f>L31+L32</f>
        <v>4923059.54</v>
      </c>
      <c r="M30" s="120">
        <f>E30-K30</f>
        <v>172297.83000000007</v>
      </c>
      <c r="N30" s="122">
        <f>F30-L30</f>
        <v>795553.46</v>
      </c>
      <c r="O30" s="26">
        <v>0</v>
      </c>
      <c r="P30" s="27">
        <v>0</v>
      </c>
      <c r="Q30" s="18"/>
      <c r="R30" s="18"/>
    </row>
    <row r="31" spans="1:18" ht="18.75" customHeight="1" thickBot="1">
      <c r="A31" s="29" t="s">
        <v>150</v>
      </c>
      <c r="B31" s="430" t="s">
        <v>151</v>
      </c>
      <c r="C31" s="431"/>
      <c r="D31" s="432"/>
      <c r="E31" s="112">
        <v>538758</v>
      </c>
      <c r="F31" s="108">
        <f>2598895+E31</f>
        <v>3137653</v>
      </c>
      <c r="G31" s="33"/>
      <c r="H31" s="33">
        <v>950956.15</v>
      </c>
      <c r="I31" s="33"/>
      <c r="J31" s="33"/>
      <c r="K31" s="82">
        <f>H31</f>
        <v>950956.15</v>
      </c>
      <c r="L31" s="15">
        <f>2087830.45+K31</f>
        <v>3038786.6</v>
      </c>
      <c r="M31" s="119">
        <f>E31-K31</f>
        <v>-412198.15</v>
      </c>
      <c r="N31" s="121">
        <f>F31-L31</f>
        <v>98866.3999999999</v>
      </c>
      <c r="O31" s="31">
        <v>0</v>
      </c>
      <c r="P31" s="123">
        <v>0</v>
      </c>
      <c r="Q31" s="18"/>
      <c r="R31" s="18"/>
    </row>
    <row r="32" spans="1:18" ht="15.75" thickBot="1">
      <c r="A32" s="29" t="s">
        <v>153</v>
      </c>
      <c r="B32" s="340" t="s">
        <v>152</v>
      </c>
      <c r="C32" s="341"/>
      <c r="D32" s="342"/>
      <c r="E32" s="112">
        <v>1263240</v>
      </c>
      <c r="F32" s="108">
        <f>1317720+E32</f>
        <v>2580960</v>
      </c>
      <c r="G32" s="33">
        <v>678744.02</v>
      </c>
      <c r="H32" s="33"/>
      <c r="I32" s="33"/>
      <c r="J32" s="33"/>
      <c r="K32" s="15">
        <f>0+G32</f>
        <v>678744.02</v>
      </c>
      <c r="L32" s="15">
        <f>1205528.92+K32</f>
        <v>1884272.94</v>
      </c>
      <c r="M32" s="119">
        <f>E32-K32</f>
        <v>584495.98</v>
      </c>
      <c r="N32" s="121">
        <f>F32-L32</f>
        <v>696687.06</v>
      </c>
      <c r="O32" s="31">
        <v>0</v>
      </c>
      <c r="P32" s="123">
        <v>0</v>
      </c>
      <c r="Q32" s="18"/>
      <c r="R32" s="18"/>
    </row>
    <row r="33" spans="1:18" ht="15.75" thickBot="1">
      <c r="A33" s="29" t="s">
        <v>155</v>
      </c>
      <c r="B33" s="340" t="s">
        <v>154</v>
      </c>
      <c r="C33" s="341"/>
      <c r="D33" s="342"/>
      <c r="E33" s="95"/>
      <c r="F33" s="15"/>
      <c r="G33" s="33"/>
      <c r="H33" s="33"/>
      <c r="I33" s="33"/>
      <c r="J33" s="33"/>
      <c r="K33" s="82"/>
      <c r="L33" s="15"/>
      <c r="M33" s="193"/>
      <c r="N33" s="194"/>
      <c r="O33" s="31"/>
      <c r="P33" s="123"/>
      <c r="Q33" s="18"/>
      <c r="R33" s="18"/>
    </row>
    <row r="34" spans="1:18" ht="28.5" customHeight="1" thickBot="1">
      <c r="A34" s="128" t="s">
        <v>22</v>
      </c>
      <c r="B34" s="395" t="s">
        <v>37</v>
      </c>
      <c r="C34" s="396"/>
      <c r="D34" s="397"/>
      <c r="E34" s="81">
        <f>SUM(E35:E37)</f>
        <v>364003</v>
      </c>
      <c r="F34" s="81">
        <f>F35+F36+F37</f>
        <v>1155159</v>
      </c>
      <c r="G34" s="20">
        <f>G35+G36+G37</f>
        <v>39254.08</v>
      </c>
      <c r="H34" s="20">
        <f>H35</f>
        <v>120773.5</v>
      </c>
      <c r="I34" s="20"/>
      <c r="J34" s="20"/>
      <c r="K34" s="81">
        <f>G34+H34</f>
        <v>160027.58000000002</v>
      </c>
      <c r="L34" s="23">
        <f>L35+L36</f>
        <v>782514.5700000001</v>
      </c>
      <c r="M34" s="120">
        <f aca="true" t="shared" si="3" ref="M34:N36">E34-K34</f>
        <v>203975.41999999998</v>
      </c>
      <c r="N34" s="125">
        <f t="shared" si="3"/>
        <v>372644.42999999993</v>
      </c>
      <c r="O34" s="26">
        <v>0</v>
      </c>
      <c r="P34" s="27">
        <v>0</v>
      </c>
      <c r="Q34" s="173"/>
      <c r="R34" s="173"/>
    </row>
    <row r="35" spans="1:18" ht="15.75" thickBot="1">
      <c r="A35" s="29" t="s">
        <v>156</v>
      </c>
      <c r="B35" s="430" t="s">
        <v>151</v>
      </c>
      <c r="C35" s="431"/>
      <c r="D35" s="432"/>
      <c r="E35" s="82">
        <v>108829</v>
      </c>
      <c r="F35" s="108">
        <f>524976+E35</f>
        <v>633805</v>
      </c>
      <c r="G35" s="33"/>
      <c r="H35" s="33">
        <v>120773.5</v>
      </c>
      <c r="I35" s="33"/>
      <c r="J35" s="33"/>
      <c r="K35" s="82">
        <f>H35</f>
        <v>120773.5</v>
      </c>
      <c r="L35" s="15">
        <f>405140.83+K35</f>
        <v>525914.3300000001</v>
      </c>
      <c r="M35" s="119">
        <f t="shared" si="3"/>
        <v>-11944.5</v>
      </c>
      <c r="N35" s="121">
        <f t="shared" si="3"/>
        <v>107890.66999999993</v>
      </c>
      <c r="O35" s="31">
        <v>0</v>
      </c>
      <c r="P35" s="123">
        <v>0</v>
      </c>
      <c r="Q35" s="173"/>
      <c r="R35" s="248">
        <f>10506304-F29</f>
        <v>0</v>
      </c>
    </row>
    <row r="36" spans="1:18" ht="15.75" thickBot="1">
      <c r="A36" s="29" t="s">
        <v>157</v>
      </c>
      <c r="B36" s="340" t="s">
        <v>152</v>
      </c>
      <c r="C36" s="341"/>
      <c r="D36" s="342"/>
      <c r="E36" s="82">
        <v>255174</v>
      </c>
      <c r="F36" s="108">
        <f>266180+E36</f>
        <v>521354</v>
      </c>
      <c r="G36" s="33">
        <v>39254.08</v>
      </c>
      <c r="H36" s="33"/>
      <c r="I36" s="33"/>
      <c r="J36" s="33"/>
      <c r="K36" s="82">
        <f>G36</f>
        <v>39254.08</v>
      </c>
      <c r="L36" s="15">
        <f>217346.16+K36</f>
        <v>256600.24</v>
      </c>
      <c r="M36" s="119">
        <f t="shared" si="3"/>
        <v>215919.91999999998</v>
      </c>
      <c r="N36" s="121">
        <f t="shared" si="3"/>
        <v>264753.76</v>
      </c>
      <c r="O36" s="31">
        <v>0</v>
      </c>
      <c r="P36" s="123">
        <v>0</v>
      </c>
      <c r="Q36" s="173"/>
      <c r="R36" s="173"/>
    </row>
    <row r="37" spans="1:18" ht="15.75" thickBot="1">
      <c r="A37" s="29" t="s">
        <v>158</v>
      </c>
      <c r="B37" s="340" t="s">
        <v>154</v>
      </c>
      <c r="C37" s="341"/>
      <c r="D37" s="342"/>
      <c r="E37" s="82"/>
      <c r="F37" s="108"/>
      <c r="G37" s="33"/>
      <c r="H37" s="33"/>
      <c r="I37" s="33"/>
      <c r="J37" s="33"/>
      <c r="K37" s="82"/>
      <c r="L37" s="15"/>
      <c r="M37" s="193"/>
      <c r="N37" s="195"/>
      <c r="O37" s="31"/>
      <c r="P37" s="123"/>
      <c r="Q37" s="173"/>
      <c r="R37" s="173"/>
    </row>
    <row r="38" spans="1:18" ht="26.25" customHeight="1" thickBot="1">
      <c r="A38" s="22" t="s">
        <v>38</v>
      </c>
      <c r="B38" s="395" t="s">
        <v>39</v>
      </c>
      <c r="C38" s="396"/>
      <c r="D38" s="397"/>
      <c r="E38" s="81">
        <f>SUM(E41:E43)</f>
        <v>4500</v>
      </c>
      <c r="F38" s="114">
        <f>F41+F42+F43</f>
        <v>30000</v>
      </c>
      <c r="G38" s="20">
        <f>G40</f>
        <v>4428.68</v>
      </c>
      <c r="H38" s="20"/>
      <c r="I38" s="20"/>
      <c r="J38" s="20"/>
      <c r="K38" s="23">
        <f>K39+K40</f>
        <v>4428.68</v>
      </c>
      <c r="L38" s="23">
        <f>22229.54+K38</f>
        <v>26658.22</v>
      </c>
      <c r="M38" s="120">
        <f>E38-K38</f>
        <v>71.31999999999971</v>
      </c>
      <c r="N38" s="122">
        <f>F38-L38</f>
        <v>3341.779999999999</v>
      </c>
      <c r="O38" s="26">
        <v>0</v>
      </c>
      <c r="P38" s="27">
        <v>0</v>
      </c>
      <c r="Q38" s="173"/>
      <c r="R38" s="173"/>
    </row>
    <row r="39" spans="1:18" ht="15.75" thickBot="1">
      <c r="A39" s="29" t="s">
        <v>159</v>
      </c>
      <c r="B39" s="430" t="s">
        <v>151</v>
      </c>
      <c r="C39" s="431"/>
      <c r="D39" s="432"/>
      <c r="E39" s="15"/>
      <c r="F39" s="108"/>
      <c r="G39" s="33"/>
      <c r="H39" s="33"/>
      <c r="I39" s="33"/>
      <c r="J39" s="33"/>
      <c r="K39" s="82"/>
      <c r="L39" s="15"/>
      <c r="M39" s="193"/>
      <c r="N39" s="195"/>
      <c r="O39" s="31"/>
      <c r="P39" s="123"/>
      <c r="Q39" s="173"/>
      <c r="R39" s="173"/>
    </row>
    <row r="40" spans="1:18" ht="15.75" thickBot="1">
      <c r="A40" s="29" t="s">
        <v>160</v>
      </c>
      <c r="B40" s="340" t="s">
        <v>152</v>
      </c>
      <c r="C40" s="341"/>
      <c r="D40" s="342"/>
      <c r="E40" s="82">
        <v>4500</v>
      </c>
      <c r="F40" s="108">
        <f>25500+E40</f>
        <v>30000</v>
      </c>
      <c r="G40" s="33">
        <f>G41+G42</f>
        <v>4428.68</v>
      </c>
      <c r="H40" s="33"/>
      <c r="I40" s="33"/>
      <c r="J40" s="33"/>
      <c r="K40" s="15">
        <f>0+G40</f>
        <v>4428.68</v>
      </c>
      <c r="L40" s="15">
        <f>L41+L42+L43</f>
        <v>26658.22</v>
      </c>
      <c r="M40" s="119">
        <f aca="true" t="shared" si="4" ref="M40:N55">E40-K40</f>
        <v>71.31999999999971</v>
      </c>
      <c r="N40" s="121">
        <f t="shared" si="4"/>
        <v>3341.779999999999</v>
      </c>
      <c r="O40" s="31">
        <v>0</v>
      </c>
      <c r="P40" s="123">
        <v>0</v>
      </c>
      <c r="Q40" s="173"/>
      <c r="R40" s="173"/>
    </row>
    <row r="41" spans="1:18" ht="15.75" thickBot="1">
      <c r="A41" s="29" t="s">
        <v>40</v>
      </c>
      <c r="B41" s="427" t="s">
        <v>41</v>
      </c>
      <c r="C41" s="428"/>
      <c r="D41" s="429"/>
      <c r="E41" s="108">
        <v>2281</v>
      </c>
      <c r="F41" s="108">
        <f>11405+E41</f>
        <v>13686</v>
      </c>
      <c r="G41" s="33">
        <v>2209.68</v>
      </c>
      <c r="H41" s="33"/>
      <c r="I41" s="33"/>
      <c r="J41" s="33"/>
      <c r="K41" s="15">
        <f>0+G41</f>
        <v>2209.68</v>
      </c>
      <c r="L41" s="15">
        <f>11134.54+K41</f>
        <v>13344.220000000001</v>
      </c>
      <c r="M41" s="119">
        <f t="shared" si="4"/>
        <v>71.32000000000016</v>
      </c>
      <c r="N41" s="121">
        <f t="shared" si="4"/>
        <v>341.77999999999884</v>
      </c>
      <c r="O41" s="31">
        <v>0</v>
      </c>
      <c r="P41" s="123">
        <v>0</v>
      </c>
      <c r="Q41" s="173"/>
      <c r="R41" s="173"/>
    </row>
    <row r="42" spans="1:18" ht="15.75" thickBot="1">
      <c r="A42" s="29" t="s">
        <v>42</v>
      </c>
      <c r="B42" s="427" t="s">
        <v>43</v>
      </c>
      <c r="C42" s="428"/>
      <c r="D42" s="429"/>
      <c r="E42" s="108">
        <v>2219</v>
      </c>
      <c r="F42" s="108">
        <f>11095+E42</f>
        <v>13314</v>
      </c>
      <c r="G42" s="33">
        <v>2219</v>
      </c>
      <c r="H42" s="33"/>
      <c r="I42" s="33"/>
      <c r="J42" s="33"/>
      <c r="K42" s="15">
        <f>0+G42</f>
        <v>2219</v>
      </c>
      <c r="L42" s="15">
        <f>11095+K42</f>
        <v>13314</v>
      </c>
      <c r="M42" s="119">
        <f t="shared" si="4"/>
        <v>0</v>
      </c>
      <c r="N42" s="121">
        <f t="shared" si="4"/>
        <v>0</v>
      </c>
      <c r="O42" s="31">
        <v>0</v>
      </c>
      <c r="P42" s="123">
        <v>0</v>
      </c>
      <c r="Q42" s="173"/>
      <c r="R42" s="173"/>
    </row>
    <row r="43" spans="1:18" ht="15.75" thickBot="1">
      <c r="A43" s="29" t="s">
        <v>44</v>
      </c>
      <c r="B43" s="427" t="s">
        <v>45</v>
      </c>
      <c r="C43" s="428"/>
      <c r="D43" s="429"/>
      <c r="E43" s="108"/>
      <c r="F43" s="108">
        <f>3000+E43</f>
        <v>3000</v>
      </c>
      <c r="G43" s="13"/>
      <c r="H43" s="13"/>
      <c r="I43" s="13"/>
      <c r="J43" s="33"/>
      <c r="K43" s="15">
        <f>0+J43</f>
        <v>0</v>
      </c>
      <c r="L43" s="15">
        <f>0+K43</f>
        <v>0</v>
      </c>
      <c r="M43" s="119">
        <f t="shared" si="4"/>
        <v>0</v>
      </c>
      <c r="N43" s="121">
        <f t="shared" si="4"/>
        <v>3000</v>
      </c>
      <c r="O43" s="31">
        <v>0</v>
      </c>
      <c r="P43" s="123">
        <v>0</v>
      </c>
      <c r="Q43" s="173"/>
      <c r="R43" s="18"/>
    </row>
    <row r="44" spans="1:18" ht="31.5" customHeight="1" thickBot="1">
      <c r="A44" s="22" t="s">
        <v>46</v>
      </c>
      <c r="B44" s="395" t="s">
        <v>47</v>
      </c>
      <c r="C44" s="396"/>
      <c r="D44" s="397"/>
      <c r="E44" s="81">
        <f>SUM(E47:E49)</f>
        <v>110000</v>
      </c>
      <c r="F44" s="114">
        <f>1025200+E44</f>
        <v>1135200</v>
      </c>
      <c r="G44" s="23">
        <f>G45+G46+G47</f>
        <v>181197</v>
      </c>
      <c r="H44" s="32"/>
      <c r="I44" s="32"/>
      <c r="J44" s="20"/>
      <c r="K44" s="23">
        <f>K45+K46+K47</f>
        <v>181197</v>
      </c>
      <c r="L44" s="23">
        <f>983108.5+K44</f>
        <v>1164305.5</v>
      </c>
      <c r="M44" s="120">
        <f t="shared" si="4"/>
        <v>-71197</v>
      </c>
      <c r="N44" s="122">
        <f t="shared" si="4"/>
        <v>-29105.5</v>
      </c>
      <c r="O44" s="26">
        <v>0</v>
      </c>
      <c r="P44" s="27">
        <v>0</v>
      </c>
      <c r="Q44" s="173"/>
      <c r="R44" s="173"/>
    </row>
    <row r="45" spans="1:18" ht="15.75" thickBot="1">
      <c r="A45" s="29" t="s">
        <v>161</v>
      </c>
      <c r="B45" s="340" t="s">
        <v>152</v>
      </c>
      <c r="C45" s="341"/>
      <c r="D45" s="342"/>
      <c r="E45" s="112">
        <f>E48+E49</f>
        <v>110000</v>
      </c>
      <c r="F45" s="108">
        <f>1025200+E45</f>
        <v>1135200</v>
      </c>
      <c r="G45" s="15">
        <f>G48+G49</f>
        <v>181197</v>
      </c>
      <c r="H45" s="13"/>
      <c r="I45" s="13"/>
      <c r="J45" s="33"/>
      <c r="K45" s="15">
        <f>0+G45</f>
        <v>181197</v>
      </c>
      <c r="L45" s="15">
        <f>L48+L49</f>
        <v>1164305.5</v>
      </c>
      <c r="M45" s="119">
        <f t="shared" si="4"/>
        <v>-71197</v>
      </c>
      <c r="N45" s="124">
        <f t="shared" si="4"/>
        <v>-29105.5</v>
      </c>
      <c r="O45" s="31">
        <v>0</v>
      </c>
      <c r="P45" s="123">
        <v>0</v>
      </c>
      <c r="Q45" s="173"/>
      <c r="R45" s="173"/>
    </row>
    <row r="46" spans="1:18" ht="15.75" thickBot="1">
      <c r="A46" s="29" t="s">
        <v>162</v>
      </c>
      <c r="B46" s="430" t="s">
        <v>151</v>
      </c>
      <c r="C46" s="431"/>
      <c r="D46" s="432"/>
      <c r="E46" s="94"/>
      <c r="F46" s="108"/>
      <c r="G46" s="15"/>
      <c r="H46" s="13"/>
      <c r="I46" s="13"/>
      <c r="J46" s="33"/>
      <c r="K46" s="15">
        <f aca="true" t="shared" si="5" ref="K46:K53">0+G46</f>
        <v>0</v>
      </c>
      <c r="L46" s="15">
        <f aca="true" t="shared" si="6" ref="L46:L61">0+K46</f>
        <v>0</v>
      </c>
      <c r="M46" s="119">
        <f t="shared" si="4"/>
        <v>0</v>
      </c>
      <c r="N46" s="121">
        <f t="shared" si="4"/>
        <v>0</v>
      </c>
      <c r="O46" s="31">
        <v>0</v>
      </c>
      <c r="P46" s="123">
        <v>0</v>
      </c>
      <c r="Q46" s="173"/>
      <c r="R46" s="173"/>
    </row>
    <row r="47" spans="1:18" ht="15.75" thickBot="1">
      <c r="A47" s="29" t="s">
        <v>163</v>
      </c>
      <c r="B47" s="96" t="s">
        <v>154</v>
      </c>
      <c r="C47" s="97"/>
      <c r="D47" s="97"/>
      <c r="E47" s="126"/>
      <c r="F47" s="108"/>
      <c r="G47" s="15"/>
      <c r="H47" s="13"/>
      <c r="I47" s="13"/>
      <c r="J47" s="33"/>
      <c r="K47" s="15">
        <f t="shared" si="5"/>
        <v>0</v>
      </c>
      <c r="L47" s="15">
        <f t="shared" si="6"/>
        <v>0</v>
      </c>
      <c r="M47" s="119">
        <f t="shared" si="4"/>
        <v>0</v>
      </c>
      <c r="N47" s="121">
        <f t="shared" si="4"/>
        <v>0</v>
      </c>
      <c r="O47" s="31">
        <v>0</v>
      </c>
      <c r="P47" s="123">
        <v>0</v>
      </c>
      <c r="Q47" s="173"/>
      <c r="R47" s="196"/>
    </row>
    <row r="48" spans="1:18" ht="27" customHeight="1" thickBot="1">
      <c r="A48" s="29" t="s">
        <v>48</v>
      </c>
      <c r="B48" s="359" t="s">
        <v>49</v>
      </c>
      <c r="C48" s="360"/>
      <c r="D48" s="361"/>
      <c r="E48" s="108">
        <v>110000</v>
      </c>
      <c r="F48" s="108">
        <f>1000000+E48</f>
        <v>1110000</v>
      </c>
      <c r="G48" s="13">
        <v>179793</v>
      </c>
      <c r="H48" s="13"/>
      <c r="I48" s="13"/>
      <c r="J48" s="33"/>
      <c r="K48" s="15">
        <f t="shared" si="5"/>
        <v>179793</v>
      </c>
      <c r="L48" s="15">
        <f>971504+K48</f>
        <v>1151297</v>
      </c>
      <c r="M48" s="119">
        <f t="shared" si="4"/>
        <v>-69793</v>
      </c>
      <c r="N48" s="121">
        <f t="shared" si="4"/>
        <v>-41297</v>
      </c>
      <c r="O48" s="31">
        <v>0</v>
      </c>
      <c r="P48" s="123">
        <v>0</v>
      </c>
      <c r="Q48" s="173"/>
      <c r="R48" s="18"/>
    </row>
    <row r="49" spans="1:18" ht="27.75" customHeight="1" thickBot="1">
      <c r="A49" s="29" t="s">
        <v>50</v>
      </c>
      <c r="B49" s="359" t="s">
        <v>51</v>
      </c>
      <c r="C49" s="360"/>
      <c r="D49" s="361"/>
      <c r="E49" s="108">
        <v>0</v>
      </c>
      <c r="F49" s="108">
        <f>25200+E49</f>
        <v>25200</v>
      </c>
      <c r="G49" s="13">
        <v>1404</v>
      </c>
      <c r="H49" s="13"/>
      <c r="I49" s="13"/>
      <c r="J49" s="33"/>
      <c r="K49" s="15">
        <f t="shared" si="5"/>
        <v>1404</v>
      </c>
      <c r="L49" s="15">
        <f>11604.5+K49</f>
        <v>13008.5</v>
      </c>
      <c r="M49" s="119">
        <f t="shared" si="4"/>
        <v>-1404</v>
      </c>
      <c r="N49" s="121">
        <f t="shared" si="4"/>
        <v>12191.5</v>
      </c>
      <c r="O49" s="31">
        <v>0</v>
      </c>
      <c r="P49" s="123">
        <v>0</v>
      </c>
      <c r="Q49" s="173"/>
      <c r="R49" s="173"/>
    </row>
    <row r="50" spans="1:18" ht="15.75" thickBot="1">
      <c r="A50" s="29" t="s">
        <v>52</v>
      </c>
      <c r="B50" s="359" t="s">
        <v>53</v>
      </c>
      <c r="C50" s="360"/>
      <c r="D50" s="361"/>
      <c r="E50" s="13">
        <v>0</v>
      </c>
      <c r="F50" s="108">
        <f>0+E50</f>
        <v>0</v>
      </c>
      <c r="G50" s="13"/>
      <c r="H50" s="13"/>
      <c r="I50" s="13"/>
      <c r="J50" s="33"/>
      <c r="K50" s="15">
        <f t="shared" si="5"/>
        <v>0</v>
      </c>
      <c r="L50" s="15">
        <f t="shared" si="6"/>
        <v>0</v>
      </c>
      <c r="M50" s="119">
        <f t="shared" si="4"/>
        <v>0</v>
      </c>
      <c r="N50" s="121">
        <f t="shared" si="4"/>
        <v>0</v>
      </c>
      <c r="O50" s="31">
        <v>0</v>
      </c>
      <c r="P50" s="123">
        <v>0</v>
      </c>
      <c r="Q50" s="173"/>
      <c r="R50" s="173"/>
    </row>
    <row r="51" spans="1:18" ht="30.75" customHeight="1" thickBot="1">
      <c r="A51" s="22" t="s">
        <v>54</v>
      </c>
      <c r="B51" s="425" t="s">
        <v>55</v>
      </c>
      <c r="C51" s="323"/>
      <c r="D51" s="324"/>
      <c r="E51" s="23">
        <v>0</v>
      </c>
      <c r="F51" s="23">
        <v>0</v>
      </c>
      <c r="G51" s="23"/>
      <c r="H51" s="23"/>
      <c r="I51" s="23"/>
      <c r="J51" s="20"/>
      <c r="K51" s="23">
        <f t="shared" si="5"/>
        <v>0</v>
      </c>
      <c r="L51" s="23">
        <f t="shared" si="6"/>
        <v>0</v>
      </c>
      <c r="M51" s="120">
        <f t="shared" si="4"/>
        <v>0</v>
      </c>
      <c r="N51" s="122">
        <f t="shared" si="4"/>
        <v>0</v>
      </c>
      <c r="O51" s="26">
        <v>0</v>
      </c>
      <c r="P51" s="27">
        <v>0</v>
      </c>
      <c r="Q51" s="173"/>
      <c r="R51" s="173"/>
    </row>
    <row r="52" spans="1:18" ht="29.25" customHeight="1" thickBot="1">
      <c r="A52" s="29" t="s">
        <v>164</v>
      </c>
      <c r="B52" s="340" t="s">
        <v>152</v>
      </c>
      <c r="C52" s="341"/>
      <c r="D52" s="342"/>
      <c r="E52" s="15"/>
      <c r="F52" s="15"/>
      <c r="G52" s="15"/>
      <c r="H52" s="15"/>
      <c r="I52" s="15"/>
      <c r="J52" s="33"/>
      <c r="K52" s="15">
        <f t="shared" si="5"/>
        <v>0</v>
      </c>
      <c r="L52" s="15">
        <f t="shared" si="6"/>
        <v>0</v>
      </c>
      <c r="M52" s="119">
        <f t="shared" si="4"/>
        <v>0</v>
      </c>
      <c r="N52" s="121">
        <f t="shared" si="4"/>
        <v>0</v>
      </c>
      <c r="O52" s="31">
        <v>0</v>
      </c>
      <c r="P52" s="123">
        <v>0</v>
      </c>
      <c r="Q52" s="173"/>
      <c r="R52" s="173"/>
    </row>
    <row r="53" spans="1:18" ht="17.25" customHeight="1" thickBot="1">
      <c r="A53" s="29" t="s">
        <v>165</v>
      </c>
      <c r="B53" s="96" t="s">
        <v>154</v>
      </c>
      <c r="C53" s="97"/>
      <c r="D53" s="97"/>
      <c r="E53" s="15"/>
      <c r="F53" s="15"/>
      <c r="G53" s="15"/>
      <c r="H53" s="15"/>
      <c r="I53" s="15"/>
      <c r="J53" s="33"/>
      <c r="K53" s="15">
        <f t="shared" si="5"/>
        <v>0</v>
      </c>
      <c r="L53" s="15">
        <f t="shared" si="6"/>
        <v>0</v>
      </c>
      <c r="M53" s="119">
        <f t="shared" si="4"/>
        <v>0</v>
      </c>
      <c r="N53" s="121">
        <f t="shared" si="4"/>
        <v>0</v>
      </c>
      <c r="O53" s="31">
        <v>0</v>
      </c>
      <c r="P53" s="123">
        <v>0</v>
      </c>
      <c r="Q53" s="173"/>
      <c r="R53" s="173"/>
    </row>
    <row r="54" spans="1:18" ht="42" customHeight="1" thickBot="1">
      <c r="A54" s="22" t="s">
        <v>56</v>
      </c>
      <c r="B54" s="395" t="s">
        <v>57</v>
      </c>
      <c r="C54" s="396"/>
      <c r="D54" s="397"/>
      <c r="E54" s="81">
        <f>SUM(E59:E63)</f>
        <v>51900</v>
      </c>
      <c r="F54" s="114">
        <f>F55+F58</f>
        <v>1116300</v>
      </c>
      <c r="G54" s="23">
        <f>G55+G56+G57+G58</f>
        <v>24043.04</v>
      </c>
      <c r="H54" s="23"/>
      <c r="I54" s="23"/>
      <c r="J54" s="23">
        <f>J55+J56+J57+J58</f>
        <v>0</v>
      </c>
      <c r="K54" s="23">
        <f>K55+K56+K57</f>
        <v>24043.04</v>
      </c>
      <c r="L54" s="23">
        <f>L55+L56+L57+L58</f>
        <v>1218828.55</v>
      </c>
      <c r="M54" s="120">
        <f t="shared" si="4"/>
        <v>27856.96</v>
      </c>
      <c r="N54" s="125">
        <f t="shared" si="4"/>
        <v>-102528.55000000005</v>
      </c>
      <c r="O54" s="26">
        <v>0</v>
      </c>
      <c r="P54" s="27">
        <v>0</v>
      </c>
      <c r="Q54" s="173"/>
      <c r="R54" s="18">
        <f>F59+F60+F62+F63-F58</f>
        <v>1062700</v>
      </c>
    </row>
    <row r="55" spans="1:18" ht="22.5" customHeight="1" thickBot="1">
      <c r="A55" s="29" t="s">
        <v>166</v>
      </c>
      <c r="B55" s="390" t="s">
        <v>152</v>
      </c>
      <c r="C55" s="391"/>
      <c r="D55" s="392"/>
      <c r="E55" s="113">
        <f>E59+E60+E62+E63-E58</f>
        <v>46300</v>
      </c>
      <c r="F55" s="108">
        <f>1016400+E55</f>
        <v>1062700</v>
      </c>
      <c r="G55" s="15">
        <f>G59+G60+G62+G63</f>
        <v>24043.04</v>
      </c>
      <c r="H55" s="15"/>
      <c r="I55" s="15"/>
      <c r="J55" s="15"/>
      <c r="K55" s="15">
        <f>0+G55</f>
        <v>24043.04</v>
      </c>
      <c r="L55" s="15">
        <f>1132975.06+K55</f>
        <v>1157018.1</v>
      </c>
      <c r="M55" s="119">
        <f t="shared" si="4"/>
        <v>22256.96</v>
      </c>
      <c r="N55" s="121">
        <f t="shared" si="4"/>
        <v>-94318.1000000001</v>
      </c>
      <c r="O55" s="31">
        <v>0</v>
      </c>
      <c r="P55" s="123">
        <v>0</v>
      </c>
      <c r="Q55" s="173"/>
      <c r="R55" s="18"/>
    </row>
    <row r="56" spans="1:18" ht="29.25" customHeight="1" thickBot="1">
      <c r="A56" s="29" t="s">
        <v>167</v>
      </c>
      <c r="B56" s="430" t="s">
        <v>168</v>
      </c>
      <c r="C56" s="431"/>
      <c r="D56" s="432"/>
      <c r="E56" s="112"/>
      <c r="F56" s="108"/>
      <c r="G56" s="15"/>
      <c r="H56" s="15"/>
      <c r="I56" s="15"/>
      <c r="J56" s="15"/>
      <c r="K56" s="15">
        <f aca="true" t="shared" si="7" ref="K56:K61">0+G56</f>
        <v>0</v>
      </c>
      <c r="L56" s="15">
        <f t="shared" si="6"/>
        <v>0</v>
      </c>
      <c r="M56" s="119">
        <f aca="true" t="shared" si="8" ref="M56:N71">E56-K56</f>
        <v>0</v>
      </c>
      <c r="N56" s="121">
        <f t="shared" si="8"/>
        <v>0</v>
      </c>
      <c r="O56" s="31">
        <v>0</v>
      </c>
      <c r="P56" s="123">
        <v>0</v>
      </c>
      <c r="Q56" s="173"/>
      <c r="R56" s="18"/>
    </row>
    <row r="57" spans="1:18" ht="25.5" customHeight="1" thickBot="1">
      <c r="A57" s="29" t="s">
        <v>203</v>
      </c>
      <c r="B57" s="503" t="s">
        <v>154</v>
      </c>
      <c r="C57" s="504"/>
      <c r="D57" s="504"/>
      <c r="E57" s="127"/>
      <c r="F57" s="108"/>
      <c r="G57" s="15"/>
      <c r="H57" s="15"/>
      <c r="I57" s="15"/>
      <c r="J57" s="15"/>
      <c r="K57" s="15">
        <f t="shared" si="7"/>
        <v>0</v>
      </c>
      <c r="L57" s="15">
        <f t="shared" si="6"/>
        <v>0</v>
      </c>
      <c r="M57" s="119">
        <f t="shared" si="8"/>
        <v>0</v>
      </c>
      <c r="N57" s="121">
        <f t="shared" si="8"/>
        <v>0</v>
      </c>
      <c r="O57" s="31">
        <v>0</v>
      </c>
      <c r="P57" s="123">
        <v>0</v>
      </c>
      <c r="Q57" s="173"/>
      <c r="R57" s="18">
        <f>L59+L60+L61+L62+L63</f>
        <v>1218828.55</v>
      </c>
    </row>
    <row r="58" spans="1:18" ht="21" customHeight="1" thickBot="1">
      <c r="A58" s="29" t="s">
        <v>204</v>
      </c>
      <c r="B58" s="497" t="s">
        <v>201</v>
      </c>
      <c r="C58" s="498"/>
      <c r="D58" s="499"/>
      <c r="E58" s="112">
        <v>5600</v>
      </c>
      <c r="F58" s="108">
        <f>48000+E58</f>
        <v>53600</v>
      </c>
      <c r="G58" s="15"/>
      <c r="H58" s="15"/>
      <c r="I58" s="15"/>
      <c r="J58" s="15">
        <f>J62+J63+J59</f>
        <v>0</v>
      </c>
      <c r="K58" s="15">
        <f>0+J58</f>
        <v>0</v>
      </c>
      <c r="L58" s="15">
        <f>61810.45+K58</f>
        <v>61810.45</v>
      </c>
      <c r="M58" s="119">
        <f t="shared" si="8"/>
        <v>5600</v>
      </c>
      <c r="N58" s="121">
        <f t="shared" si="8"/>
        <v>-8210.449999999997</v>
      </c>
      <c r="O58" s="31">
        <v>0</v>
      </c>
      <c r="P58" s="123">
        <v>0</v>
      </c>
      <c r="Q58" s="173"/>
      <c r="R58" s="18">
        <f>F59+F60+F62+F63</f>
        <v>1116300</v>
      </c>
    </row>
    <row r="59" spans="1:18" ht="27" customHeight="1" thickBot="1">
      <c r="A59" s="29" t="s">
        <v>58</v>
      </c>
      <c r="B59" s="419" t="s">
        <v>236</v>
      </c>
      <c r="C59" s="420"/>
      <c r="D59" s="421"/>
      <c r="E59" s="108">
        <v>40000</v>
      </c>
      <c r="F59" s="108">
        <f>265000+E59</f>
        <v>305000</v>
      </c>
      <c r="G59" s="13">
        <v>14703.95</v>
      </c>
      <c r="H59" s="13"/>
      <c r="I59" s="13"/>
      <c r="J59" s="15"/>
      <c r="K59" s="15">
        <f>J59+G59</f>
        <v>14703.95</v>
      </c>
      <c r="L59" s="15">
        <f>247504.91+K59</f>
        <v>262208.86</v>
      </c>
      <c r="M59" s="119">
        <f t="shared" si="8"/>
        <v>25296.05</v>
      </c>
      <c r="N59" s="121">
        <f t="shared" si="8"/>
        <v>42791.140000000014</v>
      </c>
      <c r="O59" s="31">
        <v>0</v>
      </c>
      <c r="P59" s="123">
        <v>0</v>
      </c>
      <c r="Q59" s="173"/>
      <c r="R59" s="196"/>
    </row>
    <row r="60" spans="1:18" ht="21" customHeight="1" thickBot="1">
      <c r="A60" s="29" t="s">
        <v>60</v>
      </c>
      <c r="B60" s="387" t="s">
        <v>61</v>
      </c>
      <c r="C60" s="388"/>
      <c r="D60" s="388"/>
      <c r="E60" s="108"/>
      <c r="F60" s="108">
        <f>752000+E60</f>
        <v>752000</v>
      </c>
      <c r="G60" s="13"/>
      <c r="H60" s="13"/>
      <c r="I60" s="13"/>
      <c r="J60" s="15"/>
      <c r="K60" s="15">
        <f t="shared" si="7"/>
        <v>0</v>
      </c>
      <c r="L60" s="15">
        <f>904749.95+K60</f>
        <v>904749.95</v>
      </c>
      <c r="M60" s="119">
        <f t="shared" si="8"/>
        <v>0</v>
      </c>
      <c r="N60" s="121">
        <f t="shared" si="8"/>
        <v>-152749.94999999995</v>
      </c>
      <c r="O60" s="31">
        <v>0</v>
      </c>
      <c r="P60" s="123">
        <v>0</v>
      </c>
      <c r="Q60" s="173"/>
      <c r="R60" s="18"/>
    </row>
    <row r="61" spans="1:18" ht="20.25" customHeight="1" thickBot="1">
      <c r="A61" s="29" t="s">
        <v>60</v>
      </c>
      <c r="B61" s="422" t="s">
        <v>205</v>
      </c>
      <c r="C61" s="423"/>
      <c r="D61" s="424"/>
      <c r="E61" s="108"/>
      <c r="F61" s="108"/>
      <c r="G61" s="13"/>
      <c r="H61" s="13"/>
      <c r="I61" s="13"/>
      <c r="J61" s="15"/>
      <c r="K61" s="15">
        <f t="shared" si="7"/>
        <v>0</v>
      </c>
      <c r="L61" s="15">
        <f t="shared" si="6"/>
        <v>0</v>
      </c>
      <c r="M61" s="119">
        <f t="shared" si="8"/>
        <v>0</v>
      </c>
      <c r="N61" s="121">
        <f t="shared" si="8"/>
        <v>0</v>
      </c>
      <c r="O61" s="31">
        <v>0</v>
      </c>
      <c r="P61" s="123">
        <v>0</v>
      </c>
      <c r="Q61" s="173"/>
      <c r="R61" s="173"/>
    </row>
    <row r="62" spans="1:18" ht="19.5" customHeight="1" thickBot="1">
      <c r="A62" s="29" t="s">
        <v>62</v>
      </c>
      <c r="B62" s="387" t="s">
        <v>63</v>
      </c>
      <c r="C62" s="388"/>
      <c r="D62" s="389"/>
      <c r="E62" s="108">
        <v>6300</v>
      </c>
      <c r="F62" s="108">
        <f>25100+E62</f>
        <v>31400</v>
      </c>
      <c r="G62" s="215">
        <v>4999.12</v>
      </c>
      <c r="H62" s="60"/>
      <c r="I62" s="13"/>
      <c r="J62" s="13"/>
      <c r="K62" s="15">
        <f>0+J62+G62</f>
        <v>4999.12</v>
      </c>
      <c r="L62" s="15">
        <f>23783.17+K62</f>
        <v>28782.289999999997</v>
      </c>
      <c r="M62" s="119">
        <f t="shared" si="8"/>
        <v>1300.88</v>
      </c>
      <c r="N62" s="121">
        <f t="shared" si="8"/>
        <v>2617.7100000000028</v>
      </c>
      <c r="O62" s="31">
        <v>0</v>
      </c>
      <c r="P62" s="123">
        <v>0</v>
      </c>
      <c r="Q62" s="173"/>
      <c r="R62" s="173"/>
    </row>
    <row r="63" spans="1:18" ht="28.5" customHeight="1" thickBot="1">
      <c r="A63" s="29" t="s">
        <v>64</v>
      </c>
      <c r="B63" s="387" t="s">
        <v>65</v>
      </c>
      <c r="C63" s="388"/>
      <c r="D63" s="389"/>
      <c r="E63" s="108">
        <v>5600</v>
      </c>
      <c r="F63" s="108">
        <f>22300+E63</f>
        <v>27900</v>
      </c>
      <c r="G63" s="216">
        <v>4339.97</v>
      </c>
      <c r="H63" s="13"/>
      <c r="I63" s="13"/>
      <c r="J63" s="13"/>
      <c r="K63" s="15">
        <f>0+J63+G63</f>
        <v>4339.97</v>
      </c>
      <c r="L63" s="15">
        <f>18747.48+K63</f>
        <v>23087.45</v>
      </c>
      <c r="M63" s="119">
        <f t="shared" si="8"/>
        <v>1260.0299999999997</v>
      </c>
      <c r="N63" s="121">
        <f t="shared" si="8"/>
        <v>4812.549999999999</v>
      </c>
      <c r="O63" s="31">
        <v>0</v>
      </c>
      <c r="P63" s="123">
        <v>0</v>
      </c>
      <c r="Q63" s="173"/>
      <c r="R63" s="173"/>
    </row>
    <row r="64" spans="1:18" ht="30" customHeight="1" thickBot="1">
      <c r="A64" s="56" t="s">
        <v>66</v>
      </c>
      <c r="B64" s="585" t="s">
        <v>228</v>
      </c>
      <c r="C64" s="586"/>
      <c r="D64" s="587"/>
      <c r="E64" s="81">
        <f>E65</f>
        <v>30000</v>
      </c>
      <c r="F64" s="114">
        <f>F65+F66</f>
        <v>307000</v>
      </c>
      <c r="G64" s="32">
        <f>G65+G66</f>
        <v>0</v>
      </c>
      <c r="H64" s="23"/>
      <c r="I64" s="23">
        <f>I66</f>
        <v>0</v>
      </c>
      <c r="J64" s="23">
        <f>J65+J66</f>
        <v>0</v>
      </c>
      <c r="K64" s="23">
        <f>K65+K66</f>
        <v>0</v>
      </c>
      <c r="L64" s="23">
        <f>L65+L66</f>
        <v>292888</v>
      </c>
      <c r="M64" s="120">
        <f t="shared" si="8"/>
        <v>30000</v>
      </c>
      <c r="N64" s="125">
        <f t="shared" si="8"/>
        <v>14112</v>
      </c>
      <c r="O64" s="26">
        <v>0</v>
      </c>
      <c r="P64" s="27">
        <v>0</v>
      </c>
      <c r="Q64" s="173"/>
      <c r="R64" s="173"/>
    </row>
    <row r="65" spans="1:18" ht="29.25" customHeight="1" thickBot="1">
      <c r="A65" s="29" t="s">
        <v>207</v>
      </c>
      <c r="B65" s="340" t="s">
        <v>152</v>
      </c>
      <c r="C65" s="341"/>
      <c r="D65" s="342"/>
      <c r="E65" s="82">
        <v>30000</v>
      </c>
      <c r="F65" s="108">
        <f>277000+E65</f>
        <v>307000</v>
      </c>
      <c r="G65" s="13"/>
      <c r="H65" s="15"/>
      <c r="I65" s="15"/>
      <c r="J65" s="15"/>
      <c r="K65" s="15">
        <f>0+G65</f>
        <v>0</v>
      </c>
      <c r="L65" s="15">
        <f>276088+K65</f>
        <v>276088</v>
      </c>
      <c r="M65" s="119">
        <f t="shared" si="8"/>
        <v>30000</v>
      </c>
      <c r="N65" s="124">
        <f t="shared" si="8"/>
        <v>30912</v>
      </c>
      <c r="O65" s="31">
        <v>0</v>
      </c>
      <c r="P65" s="123">
        <v>0</v>
      </c>
      <c r="Q65" s="173"/>
      <c r="R65" s="173"/>
    </row>
    <row r="66" spans="1:18" ht="33" customHeight="1" thickBot="1">
      <c r="A66" s="29" t="s">
        <v>208</v>
      </c>
      <c r="B66" s="340" t="s">
        <v>171</v>
      </c>
      <c r="C66" s="341"/>
      <c r="D66" s="342"/>
      <c r="E66" s="82"/>
      <c r="F66" s="108"/>
      <c r="G66" s="13"/>
      <c r="H66" s="15"/>
      <c r="I66" s="15"/>
      <c r="J66" s="15"/>
      <c r="K66" s="15">
        <f>0+I66</f>
        <v>0</v>
      </c>
      <c r="L66" s="15">
        <f>16800+K66</f>
        <v>16800</v>
      </c>
      <c r="M66" s="119">
        <f t="shared" si="8"/>
        <v>0</v>
      </c>
      <c r="N66" s="124">
        <f t="shared" si="8"/>
        <v>-16800</v>
      </c>
      <c r="O66" s="31">
        <v>0</v>
      </c>
      <c r="P66" s="123">
        <v>0</v>
      </c>
      <c r="Q66" s="173"/>
      <c r="R66" s="173"/>
    </row>
    <row r="67" spans="1:18" ht="37.5" customHeight="1" thickBot="1">
      <c r="A67" s="128" t="s">
        <v>67</v>
      </c>
      <c r="B67" s="588" t="s">
        <v>226</v>
      </c>
      <c r="C67" s="589"/>
      <c r="D67" s="590"/>
      <c r="E67" s="81">
        <f>E68</f>
        <v>50000</v>
      </c>
      <c r="F67" s="114">
        <f>15000+E67</f>
        <v>65000</v>
      </c>
      <c r="G67" s="32">
        <f>G68+G69</f>
        <v>0</v>
      </c>
      <c r="H67" s="23"/>
      <c r="I67" s="23"/>
      <c r="J67" s="23"/>
      <c r="K67" s="23">
        <f>K68+K69+K70</f>
        <v>0</v>
      </c>
      <c r="L67" s="23">
        <f>26070+K67</f>
        <v>26070</v>
      </c>
      <c r="M67" s="120">
        <f t="shared" si="8"/>
        <v>50000</v>
      </c>
      <c r="N67" s="125">
        <f t="shared" si="8"/>
        <v>38930</v>
      </c>
      <c r="O67" s="26">
        <v>0</v>
      </c>
      <c r="P67" s="27">
        <v>0</v>
      </c>
      <c r="Q67" s="173"/>
      <c r="R67" s="18"/>
    </row>
    <row r="68" spans="1:18" ht="35.25" customHeight="1" thickBot="1">
      <c r="A68" s="29" t="s">
        <v>169</v>
      </c>
      <c r="B68" s="340" t="s">
        <v>152</v>
      </c>
      <c r="C68" s="341"/>
      <c r="D68" s="342"/>
      <c r="E68" s="112">
        <v>50000</v>
      </c>
      <c r="F68" s="108">
        <f>15000+E68</f>
        <v>65000</v>
      </c>
      <c r="G68" s="13"/>
      <c r="H68" s="15"/>
      <c r="I68" s="15"/>
      <c r="J68" s="15"/>
      <c r="K68" s="15">
        <f>G68</f>
        <v>0</v>
      </c>
      <c r="L68" s="15">
        <f>26070+K68</f>
        <v>26070</v>
      </c>
      <c r="M68" s="119">
        <f t="shared" si="8"/>
        <v>50000</v>
      </c>
      <c r="N68" s="124">
        <f t="shared" si="8"/>
        <v>38930</v>
      </c>
      <c r="O68" s="31">
        <v>0</v>
      </c>
      <c r="P68" s="123">
        <v>0</v>
      </c>
      <c r="Q68" s="173"/>
      <c r="R68" s="18"/>
    </row>
    <row r="69" spans="1:18" ht="27" customHeight="1" thickBot="1">
      <c r="A69" s="29" t="s">
        <v>170</v>
      </c>
      <c r="B69" s="340" t="s">
        <v>171</v>
      </c>
      <c r="C69" s="341"/>
      <c r="D69" s="342"/>
      <c r="E69" s="112"/>
      <c r="F69" s="108"/>
      <c r="G69" s="13"/>
      <c r="H69" s="15"/>
      <c r="I69" s="15"/>
      <c r="J69" s="15"/>
      <c r="K69" s="15">
        <f>G69</f>
        <v>0</v>
      </c>
      <c r="L69" s="15">
        <f>0+K69</f>
        <v>0</v>
      </c>
      <c r="M69" s="119">
        <f t="shared" si="8"/>
        <v>0</v>
      </c>
      <c r="N69" s="124">
        <f t="shared" si="8"/>
        <v>0</v>
      </c>
      <c r="O69" s="31">
        <v>0</v>
      </c>
      <c r="P69" s="123">
        <v>0</v>
      </c>
      <c r="Q69" s="173"/>
      <c r="R69" s="18"/>
    </row>
    <row r="70" spans="1:18" ht="20.25" customHeight="1" thickBot="1">
      <c r="A70" s="29" t="s">
        <v>172</v>
      </c>
      <c r="B70" s="340" t="s">
        <v>154</v>
      </c>
      <c r="C70" s="341"/>
      <c r="D70" s="342"/>
      <c r="E70" s="113"/>
      <c r="F70" s="108"/>
      <c r="G70" s="13"/>
      <c r="H70" s="15"/>
      <c r="I70" s="15"/>
      <c r="J70" s="15"/>
      <c r="K70" s="15">
        <f>0+J70</f>
        <v>0</v>
      </c>
      <c r="L70" s="15">
        <f>0+K70</f>
        <v>0</v>
      </c>
      <c r="M70" s="119">
        <f t="shared" si="8"/>
        <v>0</v>
      </c>
      <c r="N70" s="124">
        <f t="shared" si="8"/>
        <v>0</v>
      </c>
      <c r="O70" s="31">
        <v>0</v>
      </c>
      <c r="P70" s="123">
        <v>0</v>
      </c>
      <c r="Q70" s="173"/>
      <c r="R70" s="18"/>
    </row>
    <row r="71" spans="1:18" ht="26.25" customHeight="1" thickBot="1">
      <c r="A71" s="231" t="s">
        <v>69</v>
      </c>
      <c r="B71" s="508" t="s">
        <v>227</v>
      </c>
      <c r="C71" s="509"/>
      <c r="D71" s="510"/>
      <c r="E71" s="81">
        <v>3000</v>
      </c>
      <c r="F71" s="114">
        <f>15000+E71</f>
        <v>18000</v>
      </c>
      <c r="G71" s="32">
        <f>G72+G73</f>
        <v>8627.52</v>
      </c>
      <c r="H71" s="23"/>
      <c r="I71" s="23"/>
      <c r="J71" s="23"/>
      <c r="K71" s="23">
        <f>G71</f>
        <v>8627.52</v>
      </c>
      <c r="L71" s="23">
        <f>L72</f>
        <v>21564.52</v>
      </c>
      <c r="M71" s="120">
        <f t="shared" si="8"/>
        <v>-5627.52</v>
      </c>
      <c r="N71" s="125">
        <f t="shared" si="8"/>
        <v>-3564.5200000000004</v>
      </c>
      <c r="O71" s="26">
        <v>0</v>
      </c>
      <c r="P71" s="27">
        <v>0</v>
      </c>
      <c r="Q71" s="173"/>
      <c r="R71" s="173"/>
    </row>
    <row r="72" spans="1:18" ht="30" customHeight="1" thickBot="1">
      <c r="A72" s="29" t="s">
        <v>169</v>
      </c>
      <c r="B72" s="340" t="s">
        <v>152</v>
      </c>
      <c r="C72" s="341"/>
      <c r="D72" s="342"/>
      <c r="E72" s="112">
        <v>3000</v>
      </c>
      <c r="F72" s="108">
        <f>15000+E72</f>
        <v>18000</v>
      </c>
      <c r="G72" s="13">
        <v>8627.52</v>
      </c>
      <c r="H72" s="15"/>
      <c r="I72" s="15"/>
      <c r="J72" s="15"/>
      <c r="K72" s="15">
        <f>G72</f>
        <v>8627.52</v>
      </c>
      <c r="L72" s="15">
        <f>12937+K72</f>
        <v>21564.52</v>
      </c>
      <c r="M72" s="119">
        <f aca="true" t="shared" si="9" ref="M72:N82">E72-K72</f>
        <v>-5627.52</v>
      </c>
      <c r="N72" s="124">
        <f t="shared" si="9"/>
        <v>-3564.5200000000004</v>
      </c>
      <c r="O72" s="31">
        <v>0</v>
      </c>
      <c r="P72" s="123">
        <v>0</v>
      </c>
      <c r="Q72" s="173"/>
      <c r="R72" s="173"/>
    </row>
    <row r="73" spans="1:18" ht="20.25" customHeight="1" thickBot="1">
      <c r="A73" s="29" t="s">
        <v>172</v>
      </c>
      <c r="B73" s="340" t="s">
        <v>154</v>
      </c>
      <c r="C73" s="341"/>
      <c r="D73" s="342"/>
      <c r="E73" s="113"/>
      <c r="F73" s="108"/>
      <c r="G73" s="13"/>
      <c r="H73" s="15"/>
      <c r="I73" s="15"/>
      <c r="J73" s="15"/>
      <c r="K73" s="15">
        <f>0+J73</f>
        <v>0</v>
      </c>
      <c r="L73" s="15">
        <f>0+K73</f>
        <v>0</v>
      </c>
      <c r="M73" s="119">
        <f t="shared" si="9"/>
        <v>0</v>
      </c>
      <c r="N73" s="124">
        <f t="shared" si="9"/>
        <v>0</v>
      </c>
      <c r="O73" s="31">
        <v>0</v>
      </c>
      <c r="P73" s="123">
        <v>0</v>
      </c>
      <c r="Q73" s="173"/>
      <c r="R73" s="173"/>
    </row>
    <row r="74" spans="1:18" ht="33.75" customHeight="1" thickBot="1">
      <c r="A74" s="30" t="s">
        <v>71</v>
      </c>
      <c r="B74" s="508" t="s">
        <v>72</v>
      </c>
      <c r="C74" s="509"/>
      <c r="D74" s="510"/>
      <c r="E74" s="81">
        <f>E75</f>
        <v>4000</v>
      </c>
      <c r="F74" s="114">
        <f>176000+E74</f>
        <v>180000</v>
      </c>
      <c r="G74" s="32">
        <f>G75+G76+G77</f>
        <v>167532.5</v>
      </c>
      <c r="H74" s="23"/>
      <c r="I74" s="23">
        <f>I75+I76</f>
        <v>0</v>
      </c>
      <c r="J74" s="23"/>
      <c r="K74" s="23">
        <f>K75+K76+K77</f>
        <v>167532.5</v>
      </c>
      <c r="L74" s="23">
        <f>L75+L76+L77</f>
        <v>214934.5</v>
      </c>
      <c r="M74" s="120">
        <f t="shared" si="9"/>
        <v>-163532.5</v>
      </c>
      <c r="N74" s="125">
        <f t="shared" si="9"/>
        <v>-34934.5</v>
      </c>
      <c r="O74" s="26">
        <v>0</v>
      </c>
      <c r="P74" s="27">
        <v>0</v>
      </c>
      <c r="Q74" s="173"/>
      <c r="R74" s="173"/>
    </row>
    <row r="75" spans="1:18" ht="33" customHeight="1" thickBot="1">
      <c r="A75" s="29" t="s">
        <v>173</v>
      </c>
      <c r="B75" s="340" t="s">
        <v>152</v>
      </c>
      <c r="C75" s="341"/>
      <c r="D75" s="342"/>
      <c r="E75" s="112">
        <v>4000</v>
      </c>
      <c r="F75" s="108">
        <f>176000+E75</f>
        <v>180000</v>
      </c>
      <c r="G75" s="13">
        <v>167532.5</v>
      </c>
      <c r="H75" s="15"/>
      <c r="I75" s="15"/>
      <c r="J75" s="15"/>
      <c r="K75" s="15">
        <f>G75</f>
        <v>167532.5</v>
      </c>
      <c r="L75" s="15">
        <f>47402+K75</f>
        <v>214934.5</v>
      </c>
      <c r="M75" s="119">
        <f t="shared" si="9"/>
        <v>-163532.5</v>
      </c>
      <c r="N75" s="124">
        <f t="shared" si="9"/>
        <v>-34934.5</v>
      </c>
      <c r="O75" s="31">
        <v>0</v>
      </c>
      <c r="P75" s="123">
        <v>0</v>
      </c>
      <c r="Q75" s="173"/>
      <c r="R75" s="173"/>
    </row>
    <row r="76" spans="1:18" ht="28.5" customHeight="1" thickBot="1">
      <c r="A76" s="29" t="s">
        <v>174</v>
      </c>
      <c r="B76" s="340" t="s">
        <v>171</v>
      </c>
      <c r="C76" s="341"/>
      <c r="D76" s="342"/>
      <c r="E76" s="113"/>
      <c r="F76" s="108"/>
      <c r="G76" s="13"/>
      <c r="H76" s="15"/>
      <c r="I76" s="15"/>
      <c r="J76" s="15"/>
      <c r="K76" s="15">
        <f>I76</f>
        <v>0</v>
      </c>
      <c r="L76" s="15">
        <f aca="true" t="shared" si="10" ref="K76:L82">0+K76</f>
        <v>0</v>
      </c>
      <c r="M76" s="119">
        <f t="shared" si="9"/>
        <v>0</v>
      </c>
      <c r="N76" s="124">
        <f t="shared" si="9"/>
        <v>0</v>
      </c>
      <c r="O76" s="31">
        <v>0</v>
      </c>
      <c r="P76" s="123">
        <v>0</v>
      </c>
      <c r="Q76" s="173"/>
      <c r="R76" s="173"/>
    </row>
    <row r="77" spans="1:18" ht="22.5" customHeight="1" thickBot="1">
      <c r="A77" s="29" t="s">
        <v>175</v>
      </c>
      <c r="B77" s="96" t="s">
        <v>154</v>
      </c>
      <c r="C77" s="97"/>
      <c r="D77" s="98"/>
      <c r="E77" s="112"/>
      <c r="F77" s="108"/>
      <c r="G77" s="13"/>
      <c r="H77" s="15"/>
      <c r="I77" s="15"/>
      <c r="J77" s="15"/>
      <c r="K77" s="15">
        <f t="shared" si="10"/>
        <v>0</v>
      </c>
      <c r="L77" s="15">
        <f t="shared" si="10"/>
        <v>0</v>
      </c>
      <c r="M77" s="119">
        <f t="shared" si="9"/>
        <v>0</v>
      </c>
      <c r="N77" s="124">
        <f t="shared" si="9"/>
        <v>0</v>
      </c>
      <c r="O77" s="31">
        <v>0</v>
      </c>
      <c r="P77" s="123">
        <v>0</v>
      </c>
      <c r="Q77" s="173"/>
      <c r="R77" s="173"/>
    </row>
    <row r="78" spans="1:18" ht="45.75" customHeight="1" thickBot="1">
      <c r="A78" s="128" t="s">
        <v>73</v>
      </c>
      <c r="B78" s="395" t="s">
        <v>74</v>
      </c>
      <c r="C78" s="396"/>
      <c r="D78" s="397"/>
      <c r="E78" s="81">
        <f>E79</f>
        <v>0</v>
      </c>
      <c r="F78" s="114">
        <f>F79</f>
        <v>1500</v>
      </c>
      <c r="G78" s="32"/>
      <c r="H78" s="23"/>
      <c r="I78" s="23"/>
      <c r="J78" s="23"/>
      <c r="K78" s="23">
        <f t="shared" si="10"/>
        <v>0</v>
      </c>
      <c r="L78" s="23">
        <f t="shared" si="10"/>
        <v>0</v>
      </c>
      <c r="M78" s="120">
        <f t="shared" si="9"/>
        <v>0</v>
      </c>
      <c r="N78" s="125">
        <f t="shared" si="9"/>
        <v>1500</v>
      </c>
      <c r="O78" s="26">
        <v>0</v>
      </c>
      <c r="P78" s="27">
        <v>0</v>
      </c>
      <c r="Q78" s="173"/>
      <c r="R78" s="173"/>
    </row>
    <row r="79" spans="1:18" ht="28.5" customHeight="1" thickBot="1">
      <c r="A79" s="29" t="s">
        <v>176</v>
      </c>
      <c r="B79" s="340" t="s">
        <v>152</v>
      </c>
      <c r="C79" s="341"/>
      <c r="D79" s="342"/>
      <c r="E79" s="113">
        <v>0</v>
      </c>
      <c r="F79" s="108">
        <f>1500+E79</f>
        <v>1500</v>
      </c>
      <c r="G79" s="13"/>
      <c r="H79" s="15"/>
      <c r="I79" s="15"/>
      <c r="J79" s="15"/>
      <c r="K79" s="15">
        <f t="shared" si="10"/>
        <v>0</v>
      </c>
      <c r="L79" s="15">
        <f t="shared" si="10"/>
        <v>0</v>
      </c>
      <c r="M79" s="119">
        <f t="shared" si="9"/>
        <v>0</v>
      </c>
      <c r="N79" s="124">
        <f t="shared" si="9"/>
        <v>1500</v>
      </c>
      <c r="O79" s="31">
        <v>0</v>
      </c>
      <c r="P79" s="123">
        <v>0</v>
      </c>
      <c r="Q79" s="173"/>
      <c r="R79" s="173"/>
    </row>
    <row r="80" spans="1:18" ht="21.75" customHeight="1" thickBot="1">
      <c r="A80" s="128" t="s">
        <v>75</v>
      </c>
      <c r="B80" s="395" t="s">
        <v>76</v>
      </c>
      <c r="C80" s="396"/>
      <c r="D80" s="397"/>
      <c r="E80" s="81">
        <f>E81</f>
        <v>0</v>
      </c>
      <c r="F80" s="114">
        <f>F81</f>
        <v>18500</v>
      </c>
      <c r="G80" s="32"/>
      <c r="H80" s="23"/>
      <c r="I80" s="23"/>
      <c r="J80" s="23"/>
      <c r="K80" s="23">
        <f t="shared" si="10"/>
        <v>0</v>
      </c>
      <c r="L80" s="23">
        <f>0+K80</f>
        <v>0</v>
      </c>
      <c r="M80" s="120">
        <f t="shared" si="9"/>
        <v>0</v>
      </c>
      <c r="N80" s="125">
        <f t="shared" si="9"/>
        <v>18500</v>
      </c>
      <c r="O80" s="26">
        <v>0</v>
      </c>
      <c r="P80" s="27">
        <v>0</v>
      </c>
      <c r="Q80" s="173"/>
      <c r="R80" s="173"/>
    </row>
    <row r="81" spans="1:18" ht="35.25" customHeight="1" thickBot="1">
      <c r="A81" s="29" t="s">
        <v>177</v>
      </c>
      <c r="B81" s="340" t="s">
        <v>152</v>
      </c>
      <c r="C81" s="341"/>
      <c r="D81" s="342"/>
      <c r="E81" s="113">
        <v>0</v>
      </c>
      <c r="F81" s="108">
        <f>18500+E81</f>
        <v>18500</v>
      </c>
      <c r="G81" s="198"/>
      <c r="H81" s="199"/>
      <c r="I81" s="93"/>
      <c r="J81" s="199"/>
      <c r="K81" s="15">
        <f t="shared" si="10"/>
        <v>0</v>
      </c>
      <c r="L81" s="15">
        <f>0+K81</f>
        <v>0</v>
      </c>
      <c r="M81" s="119">
        <f t="shared" si="9"/>
        <v>0</v>
      </c>
      <c r="N81" s="124">
        <f t="shared" si="9"/>
        <v>18500</v>
      </c>
      <c r="O81" s="31">
        <v>0</v>
      </c>
      <c r="P81" s="123">
        <v>0</v>
      </c>
      <c r="Q81" s="173"/>
      <c r="R81" s="173"/>
    </row>
    <row r="82" spans="1:18" ht="24" customHeight="1" thickBot="1">
      <c r="A82" s="29" t="s">
        <v>178</v>
      </c>
      <c r="B82" s="96" t="s">
        <v>154</v>
      </c>
      <c r="C82" s="97"/>
      <c r="D82" s="98"/>
      <c r="E82" s="113"/>
      <c r="F82" s="15"/>
      <c r="G82" s="13"/>
      <c r="H82" s="200"/>
      <c r="I82" s="15"/>
      <c r="J82" s="200"/>
      <c r="K82" s="15">
        <f t="shared" si="10"/>
        <v>0</v>
      </c>
      <c r="L82" s="15">
        <f t="shared" si="10"/>
        <v>0</v>
      </c>
      <c r="M82" s="119">
        <f t="shared" si="9"/>
        <v>0</v>
      </c>
      <c r="N82" s="124">
        <f t="shared" si="9"/>
        <v>0</v>
      </c>
      <c r="O82" s="31">
        <v>0</v>
      </c>
      <c r="P82" s="123">
        <v>0</v>
      </c>
      <c r="Q82" s="173"/>
      <c r="R82" s="173"/>
    </row>
    <row r="83" spans="1:18" ht="15">
      <c r="A83" s="398"/>
      <c r="B83" s="591" t="s">
        <v>30</v>
      </c>
      <c r="C83" s="592"/>
      <c r="D83" s="592"/>
      <c r="E83" s="592"/>
      <c r="F83" s="592"/>
      <c r="G83" s="592"/>
      <c r="H83" s="592"/>
      <c r="I83" s="592"/>
      <c r="J83" s="592"/>
      <c r="K83" s="592"/>
      <c r="L83" s="592"/>
      <c r="M83" s="592"/>
      <c r="N83" s="592"/>
      <c r="O83" s="592"/>
      <c r="P83" s="593"/>
      <c r="Q83" s="173"/>
      <c r="R83" s="173"/>
    </row>
    <row r="84" spans="1:18" ht="9.75" customHeight="1" thickBot="1">
      <c r="A84" s="399"/>
      <c r="B84" s="594"/>
      <c r="C84" s="595"/>
      <c r="D84" s="595"/>
      <c r="E84" s="595"/>
      <c r="F84" s="595"/>
      <c r="G84" s="595"/>
      <c r="H84" s="595"/>
      <c r="I84" s="595"/>
      <c r="J84" s="595"/>
      <c r="K84" s="595"/>
      <c r="L84" s="595"/>
      <c r="M84" s="595"/>
      <c r="N84" s="595"/>
      <c r="O84" s="595"/>
      <c r="P84" s="596"/>
      <c r="Q84" s="173"/>
      <c r="R84" s="173"/>
    </row>
    <row r="85" spans="1:18" ht="15.75" thickBot="1">
      <c r="A85" s="398"/>
      <c r="B85" s="550" t="s">
        <v>14</v>
      </c>
      <c r="C85" s="551"/>
      <c r="D85" s="552"/>
      <c r="E85" s="581" t="s">
        <v>24</v>
      </c>
      <c r="F85" s="583" t="s">
        <v>25</v>
      </c>
      <c r="G85" s="532" t="s">
        <v>31</v>
      </c>
      <c r="H85" s="522"/>
      <c r="I85" s="522"/>
      <c r="J85" s="522"/>
      <c r="K85" s="533"/>
      <c r="L85" s="534" t="s">
        <v>16</v>
      </c>
      <c r="M85" s="534" t="s">
        <v>17</v>
      </c>
      <c r="N85" s="534" t="s">
        <v>18</v>
      </c>
      <c r="O85" s="534" t="s">
        <v>19</v>
      </c>
      <c r="P85" s="534" t="s">
        <v>20</v>
      </c>
      <c r="Q85" s="173"/>
      <c r="R85" s="173"/>
    </row>
    <row r="86" spans="1:18" ht="85.5" customHeight="1" thickBot="1">
      <c r="A86" s="399"/>
      <c r="B86" s="553"/>
      <c r="C86" s="554"/>
      <c r="D86" s="555"/>
      <c r="E86" s="582"/>
      <c r="F86" s="584"/>
      <c r="G86" s="240" t="s">
        <v>32</v>
      </c>
      <c r="H86" s="240" t="s">
        <v>33</v>
      </c>
      <c r="I86" s="240" t="s">
        <v>34</v>
      </c>
      <c r="J86" s="175" t="s">
        <v>77</v>
      </c>
      <c r="K86" s="176" t="s">
        <v>27</v>
      </c>
      <c r="L86" s="535"/>
      <c r="M86" s="535"/>
      <c r="N86" s="535"/>
      <c r="O86" s="535"/>
      <c r="P86" s="535"/>
      <c r="Q86" s="173"/>
      <c r="R86" s="173"/>
    </row>
    <row r="87" spans="1:18" ht="15.75" thickBot="1">
      <c r="A87" s="29"/>
      <c r="B87" s="536">
        <v>1</v>
      </c>
      <c r="C87" s="537"/>
      <c r="D87" s="538"/>
      <c r="E87" s="180" t="s">
        <v>22</v>
      </c>
      <c r="F87" s="240">
        <v>3</v>
      </c>
      <c r="G87" s="240">
        <v>4</v>
      </c>
      <c r="H87" s="240">
        <v>5</v>
      </c>
      <c r="I87" s="175">
        <v>6</v>
      </c>
      <c r="J87" s="175">
        <v>7</v>
      </c>
      <c r="K87" s="192">
        <v>8</v>
      </c>
      <c r="L87" s="244">
        <v>9</v>
      </c>
      <c r="M87" s="175">
        <v>10</v>
      </c>
      <c r="N87" s="244">
        <v>11</v>
      </c>
      <c r="O87" s="175">
        <v>12</v>
      </c>
      <c r="P87" s="244">
        <v>13</v>
      </c>
      <c r="Q87" s="173"/>
      <c r="R87" s="173"/>
    </row>
    <row r="88" spans="1:18" ht="45" customHeight="1" thickBot="1">
      <c r="A88" s="22" t="s">
        <v>78</v>
      </c>
      <c r="B88" s="395" t="s">
        <v>79</v>
      </c>
      <c r="C88" s="396"/>
      <c r="D88" s="397"/>
      <c r="E88" s="81">
        <f>E89</f>
        <v>27555</v>
      </c>
      <c r="F88" s="114">
        <f>137775+E88</f>
        <v>165330</v>
      </c>
      <c r="G88" s="81">
        <f>G89+G90+G91+G92</f>
        <v>26969.73</v>
      </c>
      <c r="H88" s="23"/>
      <c r="I88" s="23">
        <f>I89+I90+I91</f>
        <v>0</v>
      </c>
      <c r="J88" s="23"/>
      <c r="K88" s="83">
        <f>K89+K90+K91+K92</f>
        <v>26969.73</v>
      </c>
      <c r="L88" s="23">
        <f>208276.9+K88</f>
        <v>235246.63</v>
      </c>
      <c r="M88" s="120">
        <f aca="true" t="shared" si="11" ref="M88:N103">E88-K88</f>
        <v>585.2700000000004</v>
      </c>
      <c r="N88" s="125">
        <f t="shared" si="11"/>
        <v>-69916.63</v>
      </c>
      <c r="O88" s="26">
        <v>0</v>
      </c>
      <c r="P88" s="27">
        <v>0</v>
      </c>
      <c r="Q88" s="18"/>
      <c r="R88" s="173"/>
    </row>
    <row r="89" spans="1:18" ht="31.5" customHeight="1" thickBot="1">
      <c r="A89" s="29" t="s">
        <v>179</v>
      </c>
      <c r="B89" s="340" t="s">
        <v>152</v>
      </c>
      <c r="C89" s="341"/>
      <c r="D89" s="342"/>
      <c r="E89" s="112">
        <f>E93+E94+E96+E97+E98+E100+E99+E95</f>
        <v>27555</v>
      </c>
      <c r="F89" s="108">
        <f>137775+E89</f>
        <v>165330</v>
      </c>
      <c r="G89" s="82">
        <f>G93+G94+G96+G97+G98+G99+G100</f>
        <v>26969.73</v>
      </c>
      <c r="H89" s="15"/>
      <c r="I89" s="15"/>
      <c r="J89" s="15"/>
      <c r="K89" s="84">
        <f>G89</f>
        <v>26969.73</v>
      </c>
      <c r="L89" s="15">
        <f>L93+L94+L96+L97+L98+L99+L100</f>
        <v>157451.63</v>
      </c>
      <c r="M89" s="119">
        <f t="shared" si="11"/>
        <v>585.2700000000004</v>
      </c>
      <c r="N89" s="124">
        <f t="shared" si="11"/>
        <v>7878.369999999995</v>
      </c>
      <c r="O89" s="31">
        <v>0</v>
      </c>
      <c r="P89" s="123">
        <v>0</v>
      </c>
      <c r="Q89" s="18"/>
      <c r="R89" s="173"/>
    </row>
    <row r="90" spans="1:18" ht="20.25" customHeight="1" thickBot="1">
      <c r="A90" s="29" t="s">
        <v>180</v>
      </c>
      <c r="B90" s="390" t="s">
        <v>151</v>
      </c>
      <c r="C90" s="391"/>
      <c r="D90" s="392"/>
      <c r="E90" s="112"/>
      <c r="F90" s="108"/>
      <c r="G90" s="82"/>
      <c r="H90" s="15"/>
      <c r="I90" s="15"/>
      <c r="J90" s="15"/>
      <c r="K90" s="84">
        <f aca="true" t="shared" si="12" ref="K90:K99">G90</f>
        <v>0</v>
      </c>
      <c r="L90" s="15">
        <f aca="true" t="shared" si="13" ref="L90:L120">0+K90</f>
        <v>0</v>
      </c>
      <c r="M90" s="119">
        <f t="shared" si="11"/>
        <v>0</v>
      </c>
      <c r="N90" s="124">
        <f t="shared" si="11"/>
        <v>0</v>
      </c>
      <c r="O90" s="31">
        <v>0</v>
      </c>
      <c r="P90" s="123">
        <v>0</v>
      </c>
      <c r="Q90" s="18"/>
      <c r="R90" s="173"/>
    </row>
    <row r="91" spans="1:18" ht="28.5" customHeight="1" thickBot="1">
      <c r="A91" s="29" t="s">
        <v>181</v>
      </c>
      <c r="B91" s="340" t="s">
        <v>171</v>
      </c>
      <c r="C91" s="341"/>
      <c r="D91" s="342"/>
      <c r="E91" s="112"/>
      <c r="F91" s="108"/>
      <c r="G91" s="82"/>
      <c r="H91" s="15"/>
      <c r="I91" s="15">
        <f>I97</f>
        <v>0</v>
      </c>
      <c r="J91" s="15"/>
      <c r="K91" s="84">
        <f>I91</f>
        <v>0</v>
      </c>
      <c r="L91" s="15">
        <f t="shared" si="13"/>
        <v>0</v>
      </c>
      <c r="M91" s="119">
        <f t="shared" si="11"/>
        <v>0</v>
      </c>
      <c r="N91" s="124">
        <f t="shared" si="11"/>
        <v>0</v>
      </c>
      <c r="O91" s="31">
        <v>0</v>
      </c>
      <c r="P91" s="123">
        <v>0</v>
      </c>
      <c r="Q91" s="18"/>
      <c r="R91" s="173"/>
    </row>
    <row r="92" spans="1:18" ht="21" customHeight="1" thickBot="1">
      <c r="A92" s="29" t="s">
        <v>182</v>
      </c>
      <c r="B92" s="340" t="s">
        <v>154</v>
      </c>
      <c r="C92" s="341"/>
      <c r="D92" s="342"/>
      <c r="E92" s="112"/>
      <c r="F92" s="108"/>
      <c r="G92" s="82"/>
      <c r="H92" s="15"/>
      <c r="I92" s="15"/>
      <c r="J92" s="15"/>
      <c r="K92" s="84">
        <f t="shared" si="12"/>
        <v>0</v>
      </c>
      <c r="L92" s="15">
        <f t="shared" si="13"/>
        <v>0</v>
      </c>
      <c r="M92" s="119">
        <f t="shared" si="11"/>
        <v>0</v>
      </c>
      <c r="N92" s="124">
        <f t="shared" si="11"/>
        <v>0</v>
      </c>
      <c r="O92" s="31">
        <v>0</v>
      </c>
      <c r="P92" s="123">
        <v>0</v>
      </c>
      <c r="Q92" s="18"/>
      <c r="R92" s="196">
        <f>L93+L94+L95+L96+L97+L98+L99+L100</f>
        <v>235246.63</v>
      </c>
    </row>
    <row r="93" spans="1:18" ht="15.75" thickBot="1">
      <c r="A93" s="29" t="s">
        <v>80</v>
      </c>
      <c r="B93" s="359" t="s">
        <v>81</v>
      </c>
      <c r="C93" s="360"/>
      <c r="D93" s="361"/>
      <c r="E93" s="108">
        <v>3000</v>
      </c>
      <c r="F93" s="108">
        <f>15000+E93</f>
        <v>18000</v>
      </c>
      <c r="G93" s="82">
        <v>3000</v>
      </c>
      <c r="H93" s="13"/>
      <c r="I93" s="13"/>
      <c r="J93" s="13"/>
      <c r="K93" s="84">
        <f t="shared" si="12"/>
        <v>3000</v>
      </c>
      <c r="L93" s="15">
        <f>15000+K93</f>
        <v>18000</v>
      </c>
      <c r="M93" s="119">
        <f t="shared" si="11"/>
        <v>0</v>
      </c>
      <c r="N93" s="124">
        <f t="shared" si="11"/>
        <v>0</v>
      </c>
      <c r="O93" s="31">
        <v>0</v>
      </c>
      <c r="P93" s="123">
        <v>0</v>
      </c>
      <c r="Q93" s="173"/>
      <c r="R93" s="18">
        <f>L89+L90+L91+L92</f>
        <v>157451.63</v>
      </c>
    </row>
    <row r="94" spans="1:18" ht="31.5" customHeight="1" thickBot="1">
      <c r="A94" s="29" t="s">
        <v>82</v>
      </c>
      <c r="B94" s="387" t="s">
        <v>209</v>
      </c>
      <c r="C94" s="388"/>
      <c r="D94" s="389"/>
      <c r="E94" s="108">
        <v>4400</v>
      </c>
      <c r="F94" s="108">
        <f>22000+E94</f>
        <v>26400</v>
      </c>
      <c r="G94" s="82"/>
      <c r="H94" s="13"/>
      <c r="I94" s="13"/>
      <c r="J94" s="13"/>
      <c r="K94" s="84">
        <f>G94</f>
        <v>0</v>
      </c>
      <c r="L94" s="15">
        <f>26400+K94</f>
        <v>26400</v>
      </c>
      <c r="M94" s="119">
        <f t="shared" si="11"/>
        <v>4400</v>
      </c>
      <c r="N94" s="124">
        <f t="shared" si="11"/>
        <v>0</v>
      </c>
      <c r="O94" s="31">
        <v>0</v>
      </c>
      <c r="P94" s="123">
        <v>0</v>
      </c>
      <c r="Q94" s="173"/>
      <c r="R94" s="173"/>
    </row>
    <row r="95" spans="1:18" ht="29.25" customHeight="1" thickBot="1">
      <c r="A95" s="29" t="s">
        <v>83</v>
      </c>
      <c r="B95" s="359" t="s">
        <v>231</v>
      </c>
      <c r="C95" s="360"/>
      <c r="D95" s="361"/>
      <c r="E95" s="108"/>
      <c r="F95" s="108">
        <f>0+E95</f>
        <v>0</v>
      </c>
      <c r="G95" s="82"/>
      <c r="H95" s="13"/>
      <c r="I95" s="13"/>
      <c r="J95" s="13"/>
      <c r="K95" s="84">
        <f t="shared" si="12"/>
        <v>0</v>
      </c>
      <c r="L95" s="15">
        <f>77795+K95</f>
        <v>77795</v>
      </c>
      <c r="M95" s="119">
        <f t="shared" si="11"/>
        <v>0</v>
      </c>
      <c r="N95" s="124">
        <f t="shared" si="11"/>
        <v>-77795</v>
      </c>
      <c r="O95" s="31">
        <v>0</v>
      </c>
      <c r="P95" s="123">
        <v>0</v>
      </c>
      <c r="Q95" s="173"/>
      <c r="R95" s="173"/>
    </row>
    <row r="96" spans="1:18" ht="26.25" customHeight="1" thickBot="1">
      <c r="A96" s="29" t="s">
        <v>85</v>
      </c>
      <c r="B96" s="359" t="s">
        <v>86</v>
      </c>
      <c r="C96" s="360"/>
      <c r="D96" s="361"/>
      <c r="E96" s="108">
        <v>1355</v>
      </c>
      <c r="F96" s="108">
        <f>6775+E96</f>
        <v>8130</v>
      </c>
      <c r="G96" s="82">
        <v>845</v>
      </c>
      <c r="H96" s="13"/>
      <c r="I96" s="13"/>
      <c r="J96" s="13"/>
      <c r="K96" s="84">
        <f t="shared" si="12"/>
        <v>845</v>
      </c>
      <c r="L96" s="15">
        <f>5755+K96</f>
        <v>6600</v>
      </c>
      <c r="M96" s="119">
        <f t="shared" si="11"/>
        <v>510</v>
      </c>
      <c r="N96" s="124">
        <f t="shared" si="11"/>
        <v>1530</v>
      </c>
      <c r="O96" s="31">
        <v>0</v>
      </c>
      <c r="P96" s="123">
        <v>0</v>
      </c>
      <c r="Q96" s="173"/>
      <c r="R96" s="173"/>
    </row>
    <row r="97" spans="1:18" ht="21" customHeight="1" thickBot="1">
      <c r="A97" s="29" t="s">
        <v>87</v>
      </c>
      <c r="B97" s="359" t="s">
        <v>88</v>
      </c>
      <c r="C97" s="360"/>
      <c r="D97" s="361"/>
      <c r="E97" s="108">
        <v>7500</v>
      </c>
      <c r="F97" s="108">
        <f>37500+E97</f>
        <v>45000</v>
      </c>
      <c r="G97" s="82">
        <v>9709.93</v>
      </c>
      <c r="H97" s="13"/>
      <c r="I97" s="13"/>
      <c r="J97" s="13"/>
      <c r="K97" s="84">
        <f>G97+I97</f>
        <v>9709.93</v>
      </c>
      <c r="L97" s="15">
        <f>27231.61+K97</f>
        <v>36941.54</v>
      </c>
      <c r="M97" s="119">
        <f t="shared" si="11"/>
        <v>-2209.9300000000003</v>
      </c>
      <c r="N97" s="124">
        <f t="shared" si="11"/>
        <v>8058.459999999999</v>
      </c>
      <c r="O97" s="31">
        <v>0</v>
      </c>
      <c r="P97" s="123">
        <v>0</v>
      </c>
      <c r="Q97" s="173"/>
      <c r="R97" s="248">
        <f>F93+F94+F95+F96+F97+F98+F99+F100</f>
        <v>165330</v>
      </c>
    </row>
    <row r="98" spans="1:16" ht="18.75" customHeight="1" thickBot="1">
      <c r="A98" s="29" t="s">
        <v>89</v>
      </c>
      <c r="B98" s="359" t="s">
        <v>90</v>
      </c>
      <c r="C98" s="360"/>
      <c r="D98" s="361"/>
      <c r="E98" s="108">
        <v>1500</v>
      </c>
      <c r="F98" s="108">
        <f>7500+E98</f>
        <v>9000</v>
      </c>
      <c r="G98" s="82">
        <v>4044</v>
      </c>
      <c r="H98" s="13"/>
      <c r="I98" s="13"/>
      <c r="J98" s="13"/>
      <c r="K98" s="84">
        <f t="shared" si="12"/>
        <v>4044</v>
      </c>
      <c r="L98" s="15">
        <f>12588+K98</f>
        <v>16632</v>
      </c>
      <c r="M98" s="119">
        <f t="shared" si="11"/>
        <v>-2544</v>
      </c>
      <c r="N98" s="124">
        <f t="shared" si="11"/>
        <v>-7632</v>
      </c>
      <c r="O98" s="31">
        <v>0</v>
      </c>
      <c r="P98" s="123">
        <v>0</v>
      </c>
    </row>
    <row r="99" spans="1:16" ht="29.25" customHeight="1" thickBot="1">
      <c r="A99" s="29" t="s">
        <v>91</v>
      </c>
      <c r="B99" s="359" t="s">
        <v>92</v>
      </c>
      <c r="C99" s="360"/>
      <c r="D99" s="361"/>
      <c r="E99" s="108">
        <v>0</v>
      </c>
      <c r="F99" s="108">
        <f>0+E99</f>
        <v>0</v>
      </c>
      <c r="G99" s="82"/>
      <c r="H99" s="13"/>
      <c r="I99" s="13"/>
      <c r="J99" s="13"/>
      <c r="K99" s="84">
        <f t="shared" si="12"/>
        <v>0</v>
      </c>
      <c r="L99" s="15">
        <f t="shared" si="13"/>
        <v>0</v>
      </c>
      <c r="M99" s="119">
        <f t="shared" si="11"/>
        <v>0</v>
      </c>
      <c r="N99" s="124">
        <f t="shared" si="11"/>
        <v>0</v>
      </c>
      <c r="O99" s="31">
        <v>0</v>
      </c>
      <c r="P99" s="123">
        <v>0</v>
      </c>
    </row>
    <row r="100" spans="1:16" ht="27.75" customHeight="1" thickBot="1">
      <c r="A100" s="29" t="s">
        <v>93</v>
      </c>
      <c r="B100" s="359" t="s">
        <v>94</v>
      </c>
      <c r="C100" s="360"/>
      <c r="D100" s="361"/>
      <c r="E100" s="108">
        <v>9800</v>
      </c>
      <c r="F100" s="108">
        <f>49000+E100</f>
        <v>58800</v>
      </c>
      <c r="G100" s="82">
        <v>9370.8</v>
      </c>
      <c r="H100" s="13"/>
      <c r="I100" s="13"/>
      <c r="J100" s="13"/>
      <c r="K100" s="84">
        <f>G100</f>
        <v>9370.8</v>
      </c>
      <c r="L100" s="15">
        <f>43507.29+K100</f>
        <v>52878.09</v>
      </c>
      <c r="M100" s="119">
        <f t="shared" si="11"/>
        <v>429.2000000000007</v>
      </c>
      <c r="N100" s="124">
        <f t="shared" si="11"/>
        <v>5921.9100000000035</v>
      </c>
      <c r="O100" s="31">
        <v>0</v>
      </c>
      <c r="P100" s="123">
        <v>0</v>
      </c>
    </row>
    <row r="101" spans="1:18" ht="26.25" customHeight="1" thickBot="1">
      <c r="A101" s="56" t="s">
        <v>95</v>
      </c>
      <c r="B101" s="425" t="s">
        <v>96</v>
      </c>
      <c r="C101" s="323"/>
      <c r="D101" s="324"/>
      <c r="E101" s="114">
        <f>E102+E103</f>
        <v>244251</v>
      </c>
      <c r="F101" s="114">
        <f>351451+E101</f>
        <v>595702</v>
      </c>
      <c r="G101" s="114">
        <f>G102+G104+G105</f>
        <v>68380.39</v>
      </c>
      <c r="H101" s="32">
        <f>H103</f>
        <v>0</v>
      </c>
      <c r="I101" s="23">
        <f>I104</f>
        <v>0</v>
      </c>
      <c r="J101" s="23"/>
      <c r="K101" s="114">
        <f>G101+H101+I101+J101</f>
        <v>68380.39</v>
      </c>
      <c r="L101" s="23">
        <f>L102+L103+L104+L105</f>
        <v>589589.98</v>
      </c>
      <c r="M101" s="120">
        <f t="shared" si="11"/>
        <v>175870.61</v>
      </c>
      <c r="N101" s="125">
        <f t="shared" si="11"/>
        <v>6112.020000000019</v>
      </c>
      <c r="O101" s="26">
        <v>0</v>
      </c>
      <c r="P101" s="27">
        <v>0</v>
      </c>
      <c r="R101" s="197">
        <f>L102+L104-L101</f>
        <v>-153006</v>
      </c>
    </row>
    <row r="102" spans="1:18" ht="26.25" customHeight="1" thickBot="1">
      <c r="A102" s="29" t="s">
        <v>183</v>
      </c>
      <c r="B102" s="340" t="s">
        <v>152</v>
      </c>
      <c r="C102" s="341"/>
      <c r="D102" s="342"/>
      <c r="E102" s="112">
        <f>E106+E107+E114+E119+E131+E113+E128+E115</f>
        <v>231500</v>
      </c>
      <c r="F102" s="108">
        <f>287700+E102</f>
        <v>519200</v>
      </c>
      <c r="G102" s="13">
        <f>G106+G107+G108+G109+G110+G111+G112+G113+G114+G115+G116+G117+G118+G119+G126+G127+G128+G129+G130+G131</f>
        <v>68380.39</v>
      </c>
      <c r="H102" s="13"/>
      <c r="I102" s="15"/>
      <c r="J102" s="15"/>
      <c r="K102" s="84">
        <f>G102</f>
        <v>68380.39</v>
      </c>
      <c r="L102" s="15">
        <f>255153.59+K102</f>
        <v>323533.98</v>
      </c>
      <c r="M102" s="119">
        <f t="shared" si="11"/>
        <v>163119.61</v>
      </c>
      <c r="N102" s="124">
        <f t="shared" si="11"/>
        <v>195666.02000000002</v>
      </c>
      <c r="O102" s="31">
        <v>0</v>
      </c>
      <c r="P102" s="123">
        <v>0</v>
      </c>
      <c r="R102" s="197"/>
    </row>
    <row r="103" spans="1:18" ht="22.5" customHeight="1" thickBot="1">
      <c r="A103" s="29" t="s">
        <v>184</v>
      </c>
      <c r="B103" s="390" t="s">
        <v>151</v>
      </c>
      <c r="C103" s="391"/>
      <c r="D103" s="392"/>
      <c r="E103" s="112">
        <f>E129</f>
        <v>12751</v>
      </c>
      <c r="F103" s="108">
        <f>63751+E103</f>
        <v>76502</v>
      </c>
      <c r="G103" s="13"/>
      <c r="H103" s="13">
        <f>H129</f>
        <v>0</v>
      </c>
      <c r="I103" s="15"/>
      <c r="J103" s="15"/>
      <c r="K103" s="84">
        <f>H103</f>
        <v>0</v>
      </c>
      <c r="L103" s="15">
        <f>153006+K103</f>
        <v>153006</v>
      </c>
      <c r="M103" s="119">
        <f t="shared" si="11"/>
        <v>12751</v>
      </c>
      <c r="N103" s="124">
        <f t="shared" si="11"/>
        <v>-76504</v>
      </c>
      <c r="O103" s="31">
        <v>0</v>
      </c>
      <c r="P103" s="123">
        <v>0</v>
      </c>
      <c r="R103" s="201"/>
    </row>
    <row r="104" spans="1:16" ht="29.25" customHeight="1" thickBot="1">
      <c r="A104" s="29" t="s">
        <v>185</v>
      </c>
      <c r="B104" s="340" t="s">
        <v>171</v>
      </c>
      <c r="C104" s="341"/>
      <c r="D104" s="342"/>
      <c r="E104" s="112"/>
      <c r="F104" s="108"/>
      <c r="G104" s="108"/>
      <c r="H104" s="13"/>
      <c r="I104" s="15">
        <f>I128</f>
        <v>0</v>
      </c>
      <c r="J104" s="15"/>
      <c r="K104" s="84">
        <f>I104</f>
        <v>0</v>
      </c>
      <c r="L104" s="15">
        <f>113050+K104</f>
        <v>113050</v>
      </c>
      <c r="M104" s="119">
        <f aca="true" t="shared" si="14" ref="M104:N120">E104-K104</f>
        <v>0</v>
      </c>
      <c r="N104" s="124">
        <f t="shared" si="14"/>
        <v>-113050</v>
      </c>
      <c r="O104" s="31">
        <v>0</v>
      </c>
      <c r="P104" s="123">
        <v>0</v>
      </c>
    </row>
    <row r="105" spans="1:18" ht="21" customHeight="1" thickBot="1">
      <c r="A105" s="29" t="s">
        <v>186</v>
      </c>
      <c r="B105" s="390" t="s">
        <v>154</v>
      </c>
      <c r="C105" s="391"/>
      <c r="D105" s="392"/>
      <c r="E105" s="112"/>
      <c r="F105" s="108"/>
      <c r="G105" s="13"/>
      <c r="H105" s="13"/>
      <c r="I105" s="15"/>
      <c r="J105" s="15"/>
      <c r="K105" s="84">
        <f>G105</f>
        <v>0</v>
      </c>
      <c r="L105" s="15">
        <f t="shared" si="13"/>
        <v>0</v>
      </c>
      <c r="M105" s="119">
        <f t="shared" si="14"/>
        <v>0</v>
      </c>
      <c r="N105" s="124">
        <f t="shared" si="14"/>
        <v>0</v>
      </c>
      <c r="O105" s="31">
        <v>0</v>
      </c>
      <c r="P105" s="123">
        <v>0</v>
      </c>
      <c r="R105" s="197">
        <f>L106+L113+L114+L118+L119+L131</f>
        <v>157338.59000000003</v>
      </c>
    </row>
    <row r="106" spans="1:16" ht="25.5" customHeight="1" thickBot="1">
      <c r="A106" s="29" t="s">
        <v>97</v>
      </c>
      <c r="B106" s="511" t="s">
        <v>98</v>
      </c>
      <c r="C106" s="512"/>
      <c r="D106" s="513"/>
      <c r="E106" s="108"/>
      <c r="F106" s="108">
        <f>32600+E106</f>
        <v>32600</v>
      </c>
      <c r="G106" s="13"/>
      <c r="H106" s="13"/>
      <c r="I106" s="13"/>
      <c r="J106" s="13"/>
      <c r="K106" s="84">
        <f aca="true" t="shared" si="15" ref="K106:K120">G106</f>
        <v>0</v>
      </c>
      <c r="L106" s="15">
        <f>39800+K106</f>
        <v>39800</v>
      </c>
      <c r="M106" s="119">
        <f t="shared" si="14"/>
        <v>0</v>
      </c>
      <c r="N106" s="124">
        <f t="shared" si="14"/>
        <v>-7200</v>
      </c>
      <c r="O106" s="31">
        <v>0</v>
      </c>
      <c r="P106" s="123">
        <v>0</v>
      </c>
    </row>
    <row r="107" spans="1:16" ht="22.5" customHeight="1" thickBot="1">
      <c r="A107" s="29" t="s">
        <v>99</v>
      </c>
      <c r="B107" s="359" t="s">
        <v>100</v>
      </c>
      <c r="C107" s="360"/>
      <c r="D107" s="361"/>
      <c r="E107" s="108"/>
      <c r="F107" s="108">
        <f>15000+E107</f>
        <v>15000</v>
      </c>
      <c r="G107" s="13"/>
      <c r="H107" s="13"/>
      <c r="I107" s="13"/>
      <c r="J107" s="13"/>
      <c r="K107" s="84">
        <f t="shared" si="15"/>
        <v>0</v>
      </c>
      <c r="L107" s="15">
        <f t="shared" si="13"/>
        <v>0</v>
      </c>
      <c r="M107" s="119">
        <f t="shared" si="14"/>
        <v>0</v>
      </c>
      <c r="N107" s="124">
        <f t="shared" si="14"/>
        <v>15000</v>
      </c>
      <c r="O107" s="31">
        <v>0</v>
      </c>
      <c r="P107" s="123">
        <v>0</v>
      </c>
    </row>
    <row r="108" spans="1:16" ht="25.5" customHeight="1" thickBot="1">
      <c r="A108" s="29" t="s">
        <v>101</v>
      </c>
      <c r="B108" s="384" t="s">
        <v>102</v>
      </c>
      <c r="C108" s="385"/>
      <c r="D108" s="386"/>
      <c r="E108" s="108"/>
      <c r="F108" s="108"/>
      <c r="G108" s="13"/>
      <c r="H108" s="13"/>
      <c r="I108" s="13"/>
      <c r="J108" s="13"/>
      <c r="K108" s="84">
        <f t="shared" si="15"/>
        <v>0</v>
      </c>
      <c r="L108" s="15">
        <f t="shared" si="13"/>
        <v>0</v>
      </c>
      <c r="M108" s="119">
        <f t="shared" si="14"/>
        <v>0</v>
      </c>
      <c r="N108" s="124">
        <f t="shared" si="14"/>
        <v>0</v>
      </c>
      <c r="O108" s="31">
        <v>0</v>
      </c>
      <c r="P108" s="123">
        <v>0</v>
      </c>
    </row>
    <row r="109" spans="1:16" ht="22.5" customHeight="1" thickBot="1">
      <c r="A109" s="29" t="s">
        <v>103</v>
      </c>
      <c r="B109" s="359" t="s">
        <v>104</v>
      </c>
      <c r="C109" s="360"/>
      <c r="D109" s="361"/>
      <c r="E109" s="108"/>
      <c r="F109" s="108"/>
      <c r="G109" s="13"/>
      <c r="H109" s="13"/>
      <c r="I109" s="13"/>
      <c r="J109" s="13"/>
      <c r="K109" s="84">
        <f t="shared" si="15"/>
        <v>0</v>
      </c>
      <c r="L109" s="15">
        <f t="shared" si="13"/>
        <v>0</v>
      </c>
      <c r="M109" s="119">
        <f t="shared" si="14"/>
        <v>0</v>
      </c>
      <c r="N109" s="124">
        <f t="shared" si="14"/>
        <v>0</v>
      </c>
      <c r="O109" s="31">
        <v>0</v>
      </c>
      <c r="P109" s="123">
        <v>0</v>
      </c>
    </row>
    <row r="110" spans="1:18" ht="29.25" customHeight="1" thickBot="1">
      <c r="A110" s="29" t="s">
        <v>105</v>
      </c>
      <c r="B110" s="359" t="s">
        <v>106</v>
      </c>
      <c r="C110" s="360"/>
      <c r="D110" s="361"/>
      <c r="E110" s="108"/>
      <c r="F110" s="108"/>
      <c r="G110" s="13"/>
      <c r="H110" s="13"/>
      <c r="I110" s="13"/>
      <c r="J110" s="13"/>
      <c r="K110" s="84">
        <f t="shared" si="15"/>
        <v>0</v>
      </c>
      <c r="L110" s="15">
        <f t="shared" si="13"/>
        <v>0</v>
      </c>
      <c r="M110" s="119">
        <f t="shared" si="14"/>
        <v>0</v>
      </c>
      <c r="N110" s="124">
        <f t="shared" si="14"/>
        <v>0</v>
      </c>
      <c r="O110" s="31">
        <v>0</v>
      </c>
      <c r="P110" s="123">
        <v>0</v>
      </c>
      <c r="R110" s="201"/>
    </row>
    <row r="111" spans="1:16" ht="23.25" customHeight="1" thickBot="1">
      <c r="A111" s="29" t="s">
        <v>107</v>
      </c>
      <c r="B111" s="384" t="s">
        <v>108</v>
      </c>
      <c r="C111" s="385"/>
      <c r="D111" s="386"/>
      <c r="E111" s="108"/>
      <c r="F111" s="108"/>
      <c r="G111" s="13"/>
      <c r="H111" s="13"/>
      <c r="I111" s="13"/>
      <c r="J111" s="13"/>
      <c r="K111" s="84">
        <f t="shared" si="15"/>
        <v>0</v>
      </c>
      <c r="L111" s="15">
        <f t="shared" si="13"/>
        <v>0</v>
      </c>
      <c r="M111" s="119">
        <f t="shared" si="14"/>
        <v>0</v>
      </c>
      <c r="N111" s="124">
        <f t="shared" si="14"/>
        <v>0</v>
      </c>
      <c r="O111" s="31">
        <v>0</v>
      </c>
      <c r="P111" s="123">
        <v>0</v>
      </c>
    </row>
    <row r="112" spans="1:16" ht="27" customHeight="1" thickBot="1">
      <c r="A112" s="29" t="s">
        <v>109</v>
      </c>
      <c r="B112" s="359" t="s">
        <v>110</v>
      </c>
      <c r="C112" s="360"/>
      <c r="D112" s="361"/>
      <c r="E112" s="108"/>
      <c r="F112" s="108"/>
      <c r="G112" s="13"/>
      <c r="H112" s="13"/>
      <c r="I112" s="13"/>
      <c r="J112" s="13"/>
      <c r="K112" s="84">
        <f t="shared" si="15"/>
        <v>0</v>
      </c>
      <c r="L112" s="15">
        <f t="shared" si="13"/>
        <v>0</v>
      </c>
      <c r="M112" s="119">
        <f t="shared" si="14"/>
        <v>0</v>
      </c>
      <c r="N112" s="124">
        <f t="shared" si="14"/>
        <v>0</v>
      </c>
      <c r="O112" s="31">
        <v>0</v>
      </c>
      <c r="P112" s="123">
        <v>0</v>
      </c>
    </row>
    <row r="113" spans="1:16" ht="20.25" customHeight="1" thickBot="1">
      <c r="A113" s="29" t="s">
        <v>111</v>
      </c>
      <c r="B113" s="359" t="s">
        <v>112</v>
      </c>
      <c r="C113" s="360"/>
      <c r="D113" s="361"/>
      <c r="E113" s="108"/>
      <c r="F113" s="108">
        <f>40000+E113</f>
        <v>40000</v>
      </c>
      <c r="G113" s="13"/>
      <c r="H113" s="13"/>
      <c r="I113" s="13"/>
      <c r="J113" s="13"/>
      <c r="K113" s="84">
        <f t="shared" si="15"/>
        <v>0</v>
      </c>
      <c r="L113" s="15">
        <f>30430+K113</f>
        <v>30430</v>
      </c>
      <c r="M113" s="119">
        <f t="shared" si="14"/>
        <v>0</v>
      </c>
      <c r="N113" s="124">
        <f t="shared" si="14"/>
        <v>9570</v>
      </c>
      <c r="O113" s="31">
        <v>0</v>
      </c>
      <c r="P113" s="123">
        <v>0</v>
      </c>
    </row>
    <row r="114" spans="1:16" ht="27.75" customHeight="1" thickBot="1">
      <c r="A114" s="29" t="s">
        <v>113</v>
      </c>
      <c r="B114" s="359" t="s">
        <v>114</v>
      </c>
      <c r="C114" s="360"/>
      <c r="D114" s="361"/>
      <c r="E114" s="108">
        <v>1500</v>
      </c>
      <c r="F114" s="108">
        <f>7500+E114</f>
        <v>9000</v>
      </c>
      <c r="G114" s="13">
        <v>16630.54</v>
      </c>
      <c r="H114" s="13"/>
      <c r="I114" s="13"/>
      <c r="J114" s="13"/>
      <c r="K114" s="84">
        <f t="shared" si="15"/>
        <v>16630.54</v>
      </c>
      <c r="L114" s="15">
        <f>7749.51+K114</f>
        <v>24380.050000000003</v>
      </c>
      <c r="M114" s="119">
        <f t="shared" si="14"/>
        <v>-15130.54</v>
      </c>
      <c r="N114" s="124">
        <f t="shared" si="14"/>
        <v>-15380.050000000003</v>
      </c>
      <c r="O114" s="31">
        <v>0</v>
      </c>
      <c r="P114" s="123">
        <v>0</v>
      </c>
    </row>
    <row r="115" spans="1:16" ht="31.5" customHeight="1" thickBot="1">
      <c r="A115" s="29" t="s">
        <v>115</v>
      </c>
      <c r="B115" s="359" t="s">
        <v>116</v>
      </c>
      <c r="C115" s="360"/>
      <c r="D115" s="361"/>
      <c r="E115" s="108">
        <v>80000</v>
      </c>
      <c r="F115" s="108">
        <f>0+E115</f>
        <v>80000</v>
      </c>
      <c r="G115" s="13"/>
      <c r="H115" s="13"/>
      <c r="I115" s="13"/>
      <c r="J115" s="13"/>
      <c r="K115" s="84">
        <f t="shared" si="15"/>
        <v>0</v>
      </c>
      <c r="L115" s="15">
        <f t="shared" si="13"/>
        <v>0</v>
      </c>
      <c r="M115" s="119">
        <f t="shared" si="14"/>
        <v>80000</v>
      </c>
      <c r="N115" s="124">
        <f t="shared" si="14"/>
        <v>80000</v>
      </c>
      <c r="O115" s="31">
        <v>0</v>
      </c>
      <c r="P115" s="123">
        <v>0</v>
      </c>
    </row>
    <row r="116" spans="1:16" ht="32.25" customHeight="1" thickBot="1">
      <c r="A116" s="29" t="s">
        <v>117</v>
      </c>
      <c r="B116" s="359" t="s">
        <v>118</v>
      </c>
      <c r="C116" s="360"/>
      <c r="D116" s="361"/>
      <c r="E116" s="108"/>
      <c r="F116" s="108"/>
      <c r="G116" s="13"/>
      <c r="H116" s="13"/>
      <c r="I116" s="13"/>
      <c r="J116" s="13"/>
      <c r="K116" s="84">
        <f t="shared" si="15"/>
        <v>0</v>
      </c>
      <c r="L116" s="15">
        <f t="shared" si="13"/>
        <v>0</v>
      </c>
      <c r="M116" s="119">
        <f t="shared" si="14"/>
        <v>0</v>
      </c>
      <c r="N116" s="124">
        <f t="shared" si="14"/>
        <v>0</v>
      </c>
      <c r="O116" s="31">
        <v>0</v>
      </c>
      <c r="P116" s="123">
        <v>0</v>
      </c>
    </row>
    <row r="117" spans="1:16" ht="30" customHeight="1" thickBot="1">
      <c r="A117" s="29"/>
      <c r="B117" s="359" t="s">
        <v>119</v>
      </c>
      <c r="C117" s="360"/>
      <c r="D117" s="361"/>
      <c r="E117" s="108"/>
      <c r="F117" s="108"/>
      <c r="G117" s="13"/>
      <c r="H117" s="13"/>
      <c r="I117" s="13"/>
      <c r="J117" s="13"/>
      <c r="K117" s="84">
        <f t="shared" si="15"/>
        <v>0</v>
      </c>
      <c r="L117" s="15">
        <f t="shared" si="13"/>
        <v>0</v>
      </c>
      <c r="M117" s="119">
        <f t="shared" si="14"/>
        <v>0</v>
      </c>
      <c r="N117" s="124">
        <f t="shared" si="14"/>
        <v>0</v>
      </c>
      <c r="O117" s="31">
        <v>0</v>
      </c>
      <c r="P117" s="123">
        <v>0</v>
      </c>
    </row>
    <row r="118" spans="1:16" ht="30.75" customHeight="1" thickBot="1">
      <c r="A118" s="29" t="s">
        <v>120</v>
      </c>
      <c r="B118" s="359" t="s">
        <v>121</v>
      </c>
      <c r="C118" s="360"/>
      <c r="D118" s="361"/>
      <c r="E118" s="108"/>
      <c r="F118" s="108"/>
      <c r="G118" s="13"/>
      <c r="H118" s="13"/>
      <c r="I118" s="13"/>
      <c r="J118" s="13"/>
      <c r="K118" s="84">
        <f t="shared" si="15"/>
        <v>0</v>
      </c>
      <c r="L118" s="15">
        <f>1827.49+K118</f>
        <v>1827.49</v>
      </c>
      <c r="M118" s="119">
        <f t="shared" si="14"/>
        <v>0</v>
      </c>
      <c r="N118" s="124">
        <f t="shared" si="14"/>
        <v>-1827.49</v>
      </c>
      <c r="O118" s="31">
        <v>0</v>
      </c>
      <c r="P118" s="123">
        <v>0</v>
      </c>
    </row>
    <row r="119" spans="1:18" ht="33" customHeight="1" thickBot="1">
      <c r="A119" s="29" t="s">
        <v>211</v>
      </c>
      <c r="B119" s="381" t="s">
        <v>122</v>
      </c>
      <c r="C119" s="382"/>
      <c r="D119" s="383"/>
      <c r="E119" s="108"/>
      <c r="F119" s="108">
        <f>36000+E119</f>
        <v>36000</v>
      </c>
      <c r="G119" s="13"/>
      <c r="H119" s="13"/>
      <c r="I119" s="13"/>
      <c r="J119" s="13"/>
      <c r="K119" s="84">
        <f t="shared" si="15"/>
        <v>0</v>
      </c>
      <c r="L119" s="15">
        <f>51706.38+K119</f>
        <v>51706.38</v>
      </c>
      <c r="M119" s="119">
        <f t="shared" si="14"/>
        <v>0</v>
      </c>
      <c r="N119" s="124">
        <f t="shared" si="14"/>
        <v>-15706.379999999997</v>
      </c>
      <c r="O119" s="31">
        <v>0</v>
      </c>
      <c r="P119" s="123">
        <v>0</v>
      </c>
      <c r="R119" s="201">
        <f>F131+F129+F128+F119+F115+F114+F113+F107+F106</f>
        <v>582351</v>
      </c>
    </row>
    <row r="120" spans="1:16" ht="25.5" customHeight="1" thickBot="1">
      <c r="A120" s="34" t="s">
        <v>123</v>
      </c>
      <c r="B120" s="359" t="s">
        <v>124</v>
      </c>
      <c r="C120" s="360"/>
      <c r="D120" s="361"/>
      <c r="E120" s="108"/>
      <c r="F120" s="108"/>
      <c r="G120" s="13"/>
      <c r="H120" s="13"/>
      <c r="I120" s="13"/>
      <c r="J120" s="13"/>
      <c r="K120" s="84">
        <f t="shared" si="15"/>
        <v>0</v>
      </c>
      <c r="L120" s="15">
        <f t="shared" si="13"/>
        <v>0</v>
      </c>
      <c r="M120" s="119">
        <f t="shared" si="14"/>
        <v>0</v>
      </c>
      <c r="N120" s="124">
        <f t="shared" si="14"/>
        <v>0</v>
      </c>
      <c r="O120" s="31">
        <v>0</v>
      </c>
      <c r="P120" s="123">
        <v>0</v>
      </c>
    </row>
    <row r="121" spans="1:16" ht="15">
      <c r="A121" s="202"/>
      <c r="B121" s="576" t="s">
        <v>30</v>
      </c>
      <c r="C121" s="576"/>
      <c r="D121" s="576"/>
      <c r="E121" s="576"/>
      <c r="F121" s="576"/>
      <c r="G121" s="576"/>
      <c r="H121" s="576"/>
      <c r="I121" s="576"/>
      <c r="J121" s="576"/>
      <c r="K121" s="576"/>
      <c r="L121" s="576"/>
      <c r="M121" s="576"/>
      <c r="N121" s="576"/>
      <c r="O121" s="576"/>
      <c r="P121" s="577"/>
    </row>
    <row r="122" spans="1:16" ht="4.5" customHeight="1" thickBot="1">
      <c r="A122" s="203"/>
      <c r="B122" s="579"/>
      <c r="C122" s="579"/>
      <c r="D122" s="579"/>
      <c r="E122" s="579"/>
      <c r="F122" s="579"/>
      <c r="G122" s="579"/>
      <c r="H122" s="579"/>
      <c r="I122" s="579"/>
      <c r="J122" s="579"/>
      <c r="K122" s="579"/>
      <c r="L122" s="579"/>
      <c r="M122" s="579"/>
      <c r="N122" s="579"/>
      <c r="O122" s="579"/>
      <c r="P122" s="580"/>
    </row>
    <row r="123" spans="1:16" ht="15.75" thickBot="1">
      <c r="A123" s="204"/>
      <c r="B123" s="599" t="s">
        <v>14</v>
      </c>
      <c r="C123" s="600"/>
      <c r="D123" s="601"/>
      <c r="E123" s="605" t="s">
        <v>24</v>
      </c>
      <c r="F123" s="607" t="s">
        <v>25</v>
      </c>
      <c r="G123" s="609" t="s">
        <v>31</v>
      </c>
      <c r="H123" s="610"/>
      <c r="I123" s="610"/>
      <c r="J123" s="610"/>
      <c r="K123" s="611"/>
      <c r="L123" s="597" t="s">
        <v>16</v>
      </c>
      <c r="M123" s="597" t="s">
        <v>17</v>
      </c>
      <c r="N123" s="597" t="s">
        <v>18</v>
      </c>
      <c r="O123" s="597" t="s">
        <v>19</v>
      </c>
      <c r="P123" s="597" t="s">
        <v>20</v>
      </c>
    </row>
    <row r="124" spans="1:16" ht="72.75" customHeight="1" thickBot="1">
      <c r="A124" s="236"/>
      <c r="B124" s="602"/>
      <c r="C124" s="603"/>
      <c r="D124" s="604"/>
      <c r="E124" s="606"/>
      <c r="F124" s="608"/>
      <c r="G124" s="205" t="s">
        <v>32</v>
      </c>
      <c r="H124" s="205" t="s">
        <v>33</v>
      </c>
      <c r="I124" s="205" t="s">
        <v>34</v>
      </c>
      <c r="J124" s="206" t="s">
        <v>220</v>
      </c>
      <c r="K124" s="207" t="s">
        <v>27</v>
      </c>
      <c r="L124" s="598"/>
      <c r="M124" s="598"/>
      <c r="N124" s="598"/>
      <c r="O124" s="598"/>
      <c r="P124" s="598"/>
    </row>
    <row r="125" spans="1:16" ht="15.75" thickBot="1">
      <c r="A125" s="38"/>
      <c r="B125" s="536">
        <v>1</v>
      </c>
      <c r="C125" s="537"/>
      <c r="D125" s="538"/>
      <c r="E125" s="180" t="s">
        <v>22</v>
      </c>
      <c r="F125" s="240">
        <v>3</v>
      </c>
      <c r="G125" s="240">
        <v>4</v>
      </c>
      <c r="H125" s="240">
        <v>5</v>
      </c>
      <c r="I125" s="175">
        <v>6</v>
      </c>
      <c r="J125" s="175">
        <v>7</v>
      </c>
      <c r="K125" s="192">
        <v>8</v>
      </c>
      <c r="L125" s="244">
        <v>9</v>
      </c>
      <c r="M125" s="175">
        <v>10</v>
      </c>
      <c r="N125" s="244">
        <v>11</v>
      </c>
      <c r="O125" s="175">
        <v>12</v>
      </c>
      <c r="P125" s="244">
        <v>13</v>
      </c>
    </row>
    <row r="126" spans="1:16" ht="27.75" thickBot="1">
      <c r="A126" s="115" t="s">
        <v>125</v>
      </c>
      <c r="B126" s="514" t="s">
        <v>126</v>
      </c>
      <c r="C126" s="515"/>
      <c r="D126" s="516"/>
      <c r="E126" s="108"/>
      <c r="F126" s="108"/>
      <c r="G126" s="13"/>
      <c r="H126" s="13"/>
      <c r="I126" s="13"/>
      <c r="J126" s="13"/>
      <c r="K126" s="84">
        <f aca="true" t="shared" si="16" ref="K126:K140">G126</f>
        <v>0</v>
      </c>
      <c r="L126" s="15">
        <f aca="true" t="shared" si="17" ref="L126:L140">0+K126</f>
        <v>0</v>
      </c>
      <c r="M126" s="119">
        <f aca="true" t="shared" si="18" ref="M126:N141">E126-K126</f>
        <v>0</v>
      </c>
      <c r="N126" s="124">
        <f t="shared" si="18"/>
        <v>0</v>
      </c>
      <c r="O126" s="31">
        <v>0</v>
      </c>
      <c r="P126" s="123">
        <v>0</v>
      </c>
    </row>
    <row r="127" spans="1:16" ht="27.75" thickBot="1">
      <c r="A127" s="116" t="s">
        <v>127</v>
      </c>
      <c r="B127" s="427" t="s">
        <v>128</v>
      </c>
      <c r="C127" s="428"/>
      <c r="D127" s="429"/>
      <c r="E127" s="108"/>
      <c r="F127" s="108"/>
      <c r="G127" s="13"/>
      <c r="H127" s="13"/>
      <c r="I127" s="13"/>
      <c r="J127" s="13"/>
      <c r="K127" s="84">
        <f t="shared" si="16"/>
        <v>0</v>
      </c>
      <c r="L127" s="15">
        <f t="shared" si="17"/>
        <v>0</v>
      </c>
      <c r="M127" s="119">
        <f t="shared" si="18"/>
        <v>0</v>
      </c>
      <c r="N127" s="124">
        <f t="shared" si="18"/>
        <v>0</v>
      </c>
      <c r="O127" s="31">
        <v>0</v>
      </c>
      <c r="P127" s="123">
        <v>0</v>
      </c>
    </row>
    <row r="128" spans="1:16" ht="30.75" thickBot="1">
      <c r="A128" s="39" t="s">
        <v>129</v>
      </c>
      <c r="B128" s="359" t="s">
        <v>130</v>
      </c>
      <c r="C128" s="360"/>
      <c r="D128" s="361"/>
      <c r="E128" s="108">
        <v>150000</v>
      </c>
      <c r="F128" s="108">
        <f>150000+E128</f>
        <v>300000</v>
      </c>
      <c r="G128" s="13">
        <v>48249.85</v>
      </c>
      <c r="H128" s="13"/>
      <c r="I128" s="13"/>
      <c r="J128" s="13"/>
      <c r="K128" s="84">
        <f>I128+G128</f>
        <v>48249.85</v>
      </c>
      <c r="L128" s="15">
        <f>230995.54+K128</f>
        <v>279245.39</v>
      </c>
      <c r="M128" s="119">
        <f t="shared" si="18"/>
        <v>101750.15</v>
      </c>
      <c r="N128" s="124">
        <f t="shared" si="18"/>
        <v>20754.609999999986</v>
      </c>
      <c r="O128" s="31">
        <v>0</v>
      </c>
      <c r="P128" s="123">
        <v>0</v>
      </c>
    </row>
    <row r="129" spans="1:16" ht="30.75" customHeight="1" thickBot="1">
      <c r="A129" s="39" t="s">
        <v>131</v>
      </c>
      <c r="B129" s="387" t="s">
        <v>222</v>
      </c>
      <c r="C129" s="388"/>
      <c r="D129" s="389"/>
      <c r="E129" s="108">
        <v>12751</v>
      </c>
      <c r="F129" s="108">
        <f>51000+E129</f>
        <v>63751</v>
      </c>
      <c r="G129" s="13"/>
      <c r="H129" s="13"/>
      <c r="I129" s="13"/>
      <c r="J129" s="13"/>
      <c r="K129" s="84">
        <f>H129</f>
        <v>0</v>
      </c>
      <c r="L129" s="15">
        <f>153006+K129</f>
        <v>153006</v>
      </c>
      <c r="M129" s="119">
        <f t="shared" si="18"/>
        <v>12751</v>
      </c>
      <c r="N129" s="124">
        <f t="shared" si="18"/>
        <v>-89255</v>
      </c>
      <c r="O129" s="31">
        <v>0</v>
      </c>
      <c r="P129" s="123">
        <v>0</v>
      </c>
    </row>
    <row r="130" spans="1:16" ht="30.75" thickBot="1">
      <c r="A130" s="73" t="s">
        <v>133</v>
      </c>
      <c r="B130" s="359" t="s">
        <v>134</v>
      </c>
      <c r="C130" s="360"/>
      <c r="D130" s="361"/>
      <c r="E130" s="108"/>
      <c r="F130" s="108"/>
      <c r="G130" s="13"/>
      <c r="H130" s="13"/>
      <c r="I130" s="13"/>
      <c r="J130" s="13"/>
      <c r="K130" s="84">
        <f t="shared" si="16"/>
        <v>0</v>
      </c>
      <c r="L130" s="15">
        <f t="shared" si="17"/>
        <v>0</v>
      </c>
      <c r="M130" s="119">
        <f t="shared" si="18"/>
        <v>0</v>
      </c>
      <c r="N130" s="124">
        <f t="shared" si="18"/>
        <v>0</v>
      </c>
      <c r="O130" s="31">
        <v>0</v>
      </c>
      <c r="P130" s="123">
        <v>0</v>
      </c>
    </row>
    <row r="131" spans="1:16" ht="30.75" thickBot="1">
      <c r="A131" s="73" t="s">
        <v>135</v>
      </c>
      <c r="B131" s="511" t="s">
        <v>136</v>
      </c>
      <c r="C131" s="512"/>
      <c r="D131" s="513"/>
      <c r="E131" s="108"/>
      <c r="F131" s="108">
        <f>6000+E131</f>
        <v>6000</v>
      </c>
      <c r="G131" s="13">
        <v>3500</v>
      </c>
      <c r="H131" s="13"/>
      <c r="I131" s="13"/>
      <c r="J131" s="13"/>
      <c r="K131" s="84">
        <f t="shared" si="16"/>
        <v>3500</v>
      </c>
      <c r="L131" s="15">
        <f>5694.67+K131</f>
        <v>9194.67</v>
      </c>
      <c r="M131" s="119">
        <f t="shared" si="18"/>
        <v>-3500</v>
      </c>
      <c r="N131" s="124">
        <f t="shared" si="18"/>
        <v>-3194.67</v>
      </c>
      <c r="O131" s="31">
        <v>0</v>
      </c>
      <c r="P131" s="123">
        <v>0</v>
      </c>
    </row>
    <row r="132" spans="1:19" ht="33.75" customHeight="1" thickBot="1">
      <c r="A132" s="40">
        <v>15</v>
      </c>
      <c r="B132" s="338" t="s">
        <v>137</v>
      </c>
      <c r="C132" s="338"/>
      <c r="D132" s="339"/>
      <c r="E132" s="108">
        <v>0</v>
      </c>
      <c r="F132" s="108"/>
      <c r="G132" s="32">
        <f>G133+G134</f>
        <v>64826.8</v>
      </c>
      <c r="H132" s="13"/>
      <c r="I132" s="13"/>
      <c r="J132" s="13"/>
      <c r="K132" s="83">
        <f t="shared" si="16"/>
        <v>64826.8</v>
      </c>
      <c r="L132" s="23">
        <f>L133+L134</f>
        <v>71226.8</v>
      </c>
      <c r="M132" s="120">
        <f t="shared" si="18"/>
        <v>-64826.8</v>
      </c>
      <c r="N132" s="125">
        <f t="shared" si="18"/>
        <v>-71226.8</v>
      </c>
      <c r="O132" s="26">
        <v>0</v>
      </c>
      <c r="P132" s="27">
        <v>0</v>
      </c>
      <c r="Q132" s="173"/>
      <c r="R132" s="173"/>
      <c r="S132" s="173"/>
    </row>
    <row r="133" spans="1:19" ht="21" customHeight="1" thickBot="1">
      <c r="A133" s="29" t="s">
        <v>187</v>
      </c>
      <c r="B133" s="390" t="s">
        <v>152</v>
      </c>
      <c r="C133" s="391"/>
      <c r="D133" s="392"/>
      <c r="E133" s="112"/>
      <c r="F133" s="108"/>
      <c r="G133" s="13">
        <v>64826.8</v>
      </c>
      <c r="H133" s="13"/>
      <c r="I133" s="13"/>
      <c r="J133" s="13"/>
      <c r="K133" s="84">
        <f t="shared" si="16"/>
        <v>64826.8</v>
      </c>
      <c r="L133" s="15">
        <f>6400+K133</f>
        <v>71226.8</v>
      </c>
      <c r="M133" s="119">
        <f t="shared" si="18"/>
        <v>-64826.8</v>
      </c>
      <c r="N133" s="124">
        <f t="shared" si="18"/>
        <v>-71226.8</v>
      </c>
      <c r="O133" s="31">
        <v>0</v>
      </c>
      <c r="P133" s="123">
        <v>0</v>
      </c>
      <c r="Q133" s="173"/>
      <c r="R133" s="173"/>
      <c r="S133" s="173"/>
    </row>
    <row r="134" spans="1:19" ht="29.25" customHeight="1" thickBot="1">
      <c r="A134" s="29" t="s">
        <v>188</v>
      </c>
      <c r="B134" s="340" t="s">
        <v>171</v>
      </c>
      <c r="C134" s="341"/>
      <c r="D134" s="342"/>
      <c r="E134" s="112"/>
      <c r="F134" s="108"/>
      <c r="G134" s="13"/>
      <c r="H134" s="13"/>
      <c r="I134" s="13"/>
      <c r="J134" s="13"/>
      <c r="K134" s="84">
        <f t="shared" si="16"/>
        <v>0</v>
      </c>
      <c r="L134" s="15">
        <f t="shared" si="17"/>
        <v>0</v>
      </c>
      <c r="M134" s="119">
        <f t="shared" si="18"/>
        <v>0</v>
      </c>
      <c r="N134" s="124">
        <f t="shared" si="18"/>
        <v>0</v>
      </c>
      <c r="O134" s="31">
        <v>0</v>
      </c>
      <c r="P134" s="123">
        <v>0</v>
      </c>
      <c r="Q134" s="173"/>
      <c r="R134" s="173"/>
      <c r="S134" s="173"/>
    </row>
    <row r="135" spans="1:19" ht="28.5" customHeight="1" thickBot="1">
      <c r="A135" s="41">
        <v>16</v>
      </c>
      <c r="B135" s="338" t="s">
        <v>138</v>
      </c>
      <c r="C135" s="338"/>
      <c r="D135" s="339"/>
      <c r="E135" s="108">
        <v>0</v>
      </c>
      <c r="F135" s="108"/>
      <c r="G135" s="32">
        <f>G136+G137</f>
        <v>357603</v>
      </c>
      <c r="H135" s="13"/>
      <c r="I135" s="13"/>
      <c r="J135" s="13"/>
      <c r="K135" s="83">
        <f t="shared" si="16"/>
        <v>357603</v>
      </c>
      <c r="L135" s="23">
        <f t="shared" si="17"/>
        <v>357603</v>
      </c>
      <c r="M135" s="120">
        <f t="shared" si="18"/>
        <v>-357603</v>
      </c>
      <c r="N135" s="125">
        <f t="shared" si="18"/>
        <v>-357603</v>
      </c>
      <c r="O135" s="26">
        <v>0</v>
      </c>
      <c r="P135" s="27">
        <v>0</v>
      </c>
      <c r="Q135" s="173"/>
      <c r="R135" s="173"/>
      <c r="S135" s="173"/>
    </row>
    <row r="136" spans="1:19" ht="20.25" customHeight="1" thickBot="1">
      <c r="A136" s="29" t="s">
        <v>189</v>
      </c>
      <c r="B136" s="390" t="s">
        <v>152</v>
      </c>
      <c r="C136" s="391"/>
      <c r="D136" s="392"/>
      <c r="E136" s="112"/>
      <c r="F136" s="108"/>
      <c r="G136" s="13">
        <v>357603</v>
      </c>
      <c r="H136" s="13"/>
      <c r="I136" s="13"/>
      <c r="J136" s="13"/>
      <c r="K136" s="84">
        <f t="shared" si="16"/>
        <v>357603</v>
      </c>
      <c r="L136" s="15">
        <f>0+K136</f>
        <v>357603</v>
      </c>
      <c r="M136" s="119">
        <f t="shared" si="18"/>
        <v>-357603</v>
      </c>
      <c r="N136" s="124">
        <f t="shared" si="18"/>
        <v>-357603</v>
      </c>
      <c r="O136" s="31">
        <v>0</v>
      </c>
      <c r="P136" s="123">
        <v>0</v>
      </c>
      <c r="Q136" s="173"/>
      <c r="R136" s="173"/>
      <c r="S136" s="173"/>
    </row>
    <row r="137" spans="1:19" ht="26.25" customHeight="1" thickBot="1">
      <c r="A137" s="29" t="s">
        <v>190</v>
      </c>
      <c r="B137" s="340" t="s">
        <v>171</v>
      </c>
      <c r="C137" s="341"/>
      <c r="D137" s="342"/>
      <c r="E137" s="112"/>
      <c r="F137" s="108"/>
      <c r="G137" s="13"/>
      <c r="H137" s="13"/>
      <c r="I137" s="13"/>
      <c r="J137" s="13"/>
      <c r="K137" s="84">
        <f t="shared" si="16"/>
        <v>0</v>
      </c>
      <c r="L137" s="15">
        <f t="shared" si="17"/>
        <v>0</v>
      </c>
      <c r="M137" s="119">
        <f t="shared" si="18"/>
        <v>0</v>
      </c>
      <c r="N137" s="124">
        <f t="shared" si="18"/>
        <v>0</v>
      </c>
      <c r="O137" s="31">
        <v>0</v>
      </c>
      <c r="P137" s="123">
        <v>0</v>
      </c>
      <c r="Q137" s="173"/>
      <c r="R137" s="173"/>
      <c r="S137" s="173"/>
    </row>
    <row r="138" spans="1:19" ht="44.25" customHeight="1" thickBot="1">
      <c r="A138" s="40">
        <v>17</v>
      </c>
      <c r="B138" s="338" t="s">
        <v>139</v>
      </c>
      <c r="C138" s="338"/>
      <c r="D138" s="339"/>
      <c r="E138" s="114">
        <v>0</v>
      </c>
      <c r="F138" s="114"/>
      <c r="G138" s="32"/>
      <c r="H138" s="32"/>
      <c r="I138" s="32"/>
      <c r="J138" s="32"/>
      <c r="K138" s="83">
        <f t="shared" si="16"/>
        <v>0</v>
      </c>
      <c r="L138" s="23">
        <f t="shared" si="17"/>
        <v>0</v>
      </c>
      <c r="M138" s="120">
        <f t="shared" si="18"/>
        <v>0</v>
      </c>
      <c r="N138" s="125">
        <f t="shared" si="18"/>
        <v>0</v>
      </c>
      <c r="O138" s="26">
        <v>0</v>
      </c>
      <c r="P138" s="27">
        <v>0</v>
      </c>
      <c r="Q138" s="173"/>
      <c r="R138" s="173"/>
      <c r="S138" s="173"/>
    </row>
    <row r="139" spans="1:19" ht="27" customHeight="1" thickBot="1">
      <c r="A139" s="29" t="s">
        <v>191</v>
      </c>
      <c r="B139" s="340" t="s">
        <v>152</v>
      </c>
      <c r="C139" s="341"/>
      <c r="D139" s="342"/>
      <c r="E139" s="112"/>
      <c r="F139" s="108"/>
      <c r="G139" s="13"/>
      <c r="H139" s="13"/>
      <c r="I139" s="13"/>
      <c r="J139" s="13"/>
      <c r="K139" s="84">
        <f t="shared" si="16"/>
        <v>0</v>
      </c>
      <c r="L139" s="15">
        <f t="shared" si="17"/>
        <v>0</v>
      </c>
      <c r="M139" s="119">
        <f t="shared" si="18"/>
        <v>0</v>
      </c>
      <c r="N139" s="124">
        <f t="shared" si="18"/>
        <v>0</v>
      </c>
      <c r="O139" s="31">
        <v>0</v>
      </c>
      <c r="P139" s="123">
        <v>0</v>
      </c>
      <c r="Q139" s="173"/>
      <c r="R139" s="173"/>
      <c r="S139" s="173"/>
    </row>
    <row r="140" spans="1:19" ht="29.25" customHeight="1" thickBot="1">
      <c r="A140" s="29" t="s">
        <v>192</v>
      </c>
      <c r="B140" s="340" t="s">
        <v>171</v>
      </c>
      <c r="C140" s="341"/>
      <c r="D140" s="342"/>
      <c r="E140" s="112"/>
      <c r="F140" s="108"/>
      <c r="G140" s="13"/>
      <c r="H140" s="13"/>
      <c r="I140" s="13"/>
      <c r="J140" s="13"/>
      <c r="K140" s="84">
        <f t="shared" si="16"/>
        <v>0</v>
      </c>
      <c r="L140" s="15">
        <f t="shared" si="17"/>
        <v>0</v>
      </c>
      <c r="M140" s="119">
        <f t="shared" si="18"/>
        <v>0</v>
      </c>
      <c r="N140" s="124">
        <f t="shared" si="18"/>
        <v>0</v>
      </c>
      <c r="O140" s="31">
        <v>0</v>
      </c>
      <c r="P140" s="123">
        <v>0</v>
      </c>
      <c r="Q140" s="173"/>
      <c r="R140" s="173"/>
      <c r="S140" s="173"/>
    </row>
    <row r="141" spans="1:19" ht="22.5" customHeight="1" thickBot="1">
      <c r="A141" s="40">
        <v>18</v>
      </c>
      <c r="B141" s="323" t="s">
        <v>140</v>
      </c>
      <c r="C141" s="323"/>
      <c r="D141" s="324"/>
      <c r="E141" s="108">
        <v>0</v>
      </c>
      <c r="F141" s="108"/>
      <c r="G141" s="13"/>
      <c r="H141" s="13"/>
      <c r="I141" s="13"/>
      <c r="J141" s="32">
        <v>138129.68</v>
      </c>
      <c r="K141" s="83">
        <f>J141</f>
        <v>138129.68</v>
      </c>
      <c r="L141" s="23">
        <f>829350.14+K141</f>
        <v>967479.8200000001</v>
      </c>
      <c r="M141" s="120">
        <f t="shared" si="18"/>
        <v>-138129.68</v>
      </c>
      <c r="N141" s="125">
        <f t="shared" si="18"/>
        <v>-967479.8200000001</v>
      </c>
      <c r="O141" s="26">
        <v>0</v>
      </c>
      <c r="P141" s="27">
        <v>0</v>
      </c>
      <c r="Q141" s="173"/>
      <c r="R141" s="173"/>
      <c r="S141" s="173"/>
    </row>
    <row r="142" spans="1:19" ht="60.75" thickBot="1">
      <c r="A142" s="43"/>
      <c r="B142" s="328" t="s">
        <v>141</v>
      </c>
      <c r="C142" s="328"/>
      <c r="D142" s="328"/>
      <c r="E142" s="328"/>
      <c r="F142" s="208"/>
      <c r="G142" s="208" t="s">
        <v>4</v>
      </c>
      <c r="H142" s="242" t="s">
        <v>5</v>
      </c>
      <c r="I142" s="532" t="s">
        <v>6</v>
      </c>
      <c r="J142" s="533"/>
      <c r="K142" s="176" t="s">
        <v>11</v>
      </c>
      <c r="L142" s="175" t="s">
        <v>8</v>
      </c>
      <c r="M142" s="175" t="s">
        <v>9</v>
      </c>
      <c r="N142" s="210" t="s">
        <v>10</v>
      </c>
      <c r="O142" s="211"/>
      <c r="P142" s="243"/>
      <c r="Q142" s="173"/>
      <c r="R142" s="173"/>
      <c r="S142" s="173"/>
    </row>
    <row r="143" spans="1:19" ht="23.25" customHeight="1" thickBot="1">
      <c r="A143" s="42"/>
      <c r="B143" s="328" t="s">
        <v>12</v>
      </c>
      <c r="C143" s="328"/>
      <c r="D143" s="328"/>
      <c r="E143" s="329"/>
      <c r="F143" s="47"/>
      <c r="G143" s="47">
        <v>0</v>
      </c>
      <c r="H143" s="3">
        <v>0</v>
      </c>
      <c r="I143" s="330">
        <v>0</v>
      </c>
      <c r="J143" s="331"/>
      <c r="K143" s="86"/>
      <c r="L143" s="3">
        <v>0</v>
      </c>
      <c r="M143" s="232">
        <v>0</v>
      </c>
      <c r="N143" s="232">
        <v>0</v>
      </c>
      <c r="O143" s="3"/>
      <c r="P143" s="3">
        <v>0</v>
      </c>
      <c r="Q143" s="173"/>
      <c r="R143" s="173"/>
      <c r="S143" s="173"/>
    </row>
    <row r="144" spans="1:19" ht="27" customHeight="1" thickBot="1">
      <c r="A144" s="43"/>
      <c r="B144" s="328" t="s">
        <v>13</v>
      </c>
      <c r="C144" s="328"/>
      <c r="D144" s="328"/>
      <c r="E144" s="329"/>
      <c r="F144" s="3"/>
      <c r="G144" s="3">
        <f>F10+G17-G32-G36-G40-G45-G55-G65-G68-G72-G75-G79-G89-G102-G133-G136-G139</f>
        <v>288355.59999999974</v>
      </c>
      <c r="H144" s="3">
        <f>G18+H10-H29</f>
        <v>390504.07000000007</v>
      </c>
      <c r="I144" s="330">
        <f>I10+G19-I104-I66-I97-I76</f>
        <v>3149</v>
      </c>
      <c r="J144" s="331"/>
      <c r="K144" s="86">
        <f>O10+G22-J54</f>
        <v>38392.51</v>
      </c>
      <c r="L144" s="3">
        <f>L10+G23-J141</f>
        <v>-2232.8699999999953</v>
      </c>
      <c r="M144" s="232">
        <v>0</v>
      </c>
      <c r="N144" s="3">
        <v>0</v>
      </c>
      <c r="O144" s="48"/>
      <c r="P144" s="3">
        <f>SUM(G144:O144)</f>
        <v>718168.3099999998</v>
      </c>
      <c r="Q144" s="173"/>
      <c r="R144" s="196">
        <f>P5+L16-L29</f>
        <v>718168.3100000005</v>
      </c>
      <c r="S144" s="18"/>
    </row>
    <row r="145" spans="1:19" ht="24.75" customHeight="1" thickBot="1">
      <c r="A145" s="49"/>
      <c r="B145" s="524" t="s">
        <v>235</v>
      </c>
      <c r="C145" s="524"/>
      <c r="D145" s="524"/>
      <c r="E145" s="525"/>
      <c r="F145" s="346"/>
      <c r="G145" s="346"/>
      <c r="H145" s="346"/>
      <c r="I145" s="346"/>
      <c r="J145" s="346"/>
      <c r="K145" s="346"/>
      <c r="L145" s="346"/>
      <c r="M145" s="346"/>
      <c r="N145" s="347"/>
      <c r="O145" s="348"/>
      <c r="P145" s="50">
        <f>P144</f>
        <v>718168.3099999998</v>
      </c>
      <c r="Q145" s="173"/>
      <c r="R145" s="18">
        <f>P5+L16-L29</f>
        <v>718168.3100000005</v>
      </c>
      <c r="S145" s="18">
        <f>P5+L16-L29</f>
        <v>718168.3100000005</v>
      </c>
    </row>
    <row r="146" spans="1:19" ht="15">
      <c r="A146" s="173"/>
      <c r="B146" s="213"/>
      <c r="C146" s="213"/>
      <c r="D146" s="213"/>
      <c r="E146" s="213"/>
      <c r="F146" s="52"/>
      <c r="G146" s="52"/>
      <c r="H146" s="52"/>
      <c r="I146" s="52"/>
      <c r="J146" s="52"/>
      <c r="K146" s="87"/>
      <c r="L146" s="52"/>
      <c r="M146" s="52"/>
      <c r="N146" s="52"/>
      <c r="O146" s="53"/>
      <c r="P146" s="54"/>
      <c r="Q146" s="173"/>
      <c r="R146" s="18"/>
      <c r="S146" s="173"/>
    </row>
    <row r="147" spans="1:19" ht="15">
      <c r="A147" s="173"/>
      <c r="B147" s="343" t="s">
        <v>142</v>
      </c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9" t="s">
        <v>143</v>
      </c>
      <c r="P147" s="349"/>
      <c r="Q147" s="173"/>
      <c r="R147" s="196">
        <f>P5+L16-L29</f>
        <v>718168.3100000005</v>
      </c>
      <c r="S147" s="18">
        <v>365352.1499999948</v>
      </c>
    </row>
    <row r="148" spans="1:19" ht="15">
      <c r="A148" s="173"/>
      <c r="B148" s="343" t="s">
        <v>144</v>
      </c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 t="s">
        <v>145</v>
      </c>
      <c r="P148" s="343"/>
      <c r="Q148" s="173"/>
      <c r="R148" s="173"/>
      <c r="S148" s="173"/>
    </row>
    <row r="149" spans="1:19" ht="15">
      <c r="A149" s="173"/>
      <c r="B149" s="234"/>
      <c r="C149" s="234"/>
      <c r="D149" s="234"/>
      <c r="E149" s="234"/>
      <c r="F149" s="234"/>
      <c r="G149" s="234"/>
      <c r="H149" s="234"/>
      <c r="I149" s="234"/>
      <c r="J149" s="55"/>
      <c r="K149" s="88"/>
      <c r="L149" s="55"/>
      <c r="M149" s="234"/>
      <c r="N149" s="234"/>
      <c r="O149" s="234"/>
      <c r="P149" s="55"/>
      <c r="Q149" s="173"/>
      <c r="R149" s="18"/>
      <c r="S149" s="173"/>
    </row>
    <row r="151" spans="1:19" ht="15">
      <c r="A151" s="173"/>
      <c r="B151" s="173"/>
      <c r="C151" s="173"/>
      <c r="D151" s="173"/>
      <c r="E151" s="173"/>
      <c r="F151" s="173"/>
      <c r="G151" s="173"/>
      <c r="H151" s="173"/>
      <c r="I151" s="250"/>
      <c r="J151" s="173"/>
      <c r="K151" s="173"/>
      <c r="L151" s="173"/>
      <c r="M151" s="173"/>
      <c r="N151" s="173"/>
      <c r="O151" s="173"/>
      <c r="P151" s="173"/>
      <c r="Q151" s="173"/>
      <c r="R151" s="18"/>
      <c r="S151" s="173"/>
    </row>
    <row r="152" spans="1:19" ht="15">
      <c r="A152" s="173"/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8"/>
      <c r="S152" s="173"/>
    </row>
    <row r="153" spans="1:19" ht="15">
      <c r="A153" s="173"/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8"/>
      <c r="O153" s="173"/>
      <c r="P153" s="173"/>
      <c r="Q153" s="173"/>
      <c r="R153" s="173"/>
      <c r="S153" s="173"/>
    </row>
    <row r="154" spans="12:16" ht="15">
      <c r="L154" s="173"/>
      <c r="M154" s="173"/>
      <c r="N154" s="18"/>
      <c r="O154" s="173"/>
      <c r="P154" s="18"/>
    </row>
    <row r="155" spans="12:16" ht="15">
      <c r="L155" s="173"/>
      <c r="M155" s="173"/>
      <c r="N155" s="214"/>
      <c r="O155" s="173"/>
      <c r="P155" s="18"/>
    </row>
    <row r="156" spans="12:16" ht="15">
      <c r="L156" s="18"/>
      <c r="M156" s="173"/>
      <c r="N156" s="173"/>
      <c r="O156" s="173"/>
      <c r="P156" s="173"/>
    </row>
    <row r="157" spans="12:16" ht="15">
      <c r="L157" s="18"/>
      <c r="M157" s="18"/>
      <c r="N157" s="173"/>
      <c r="O157" s="173"/>
      <c r="P157" s="173"/>
    </row>
  </sheetData>
  <sheetProtection/>
  <mergeCells count="200">
    <mergeCell ref="B1:P1"/>
    <mergeCell ref="B2:P2"/>
    <mergeCell ref="B3:P3"/>
    <mergeCell ref="B4:P4"/>
    <mergeCell ref="B5:E5"/>
    <mergeCell ref="F5:O5"/>
    <mergeCell ref="B9:E9"/>
    <mergeCell ref="F9:G9"/>
    <mergeCell ref="I9:J9"/>
    <mergeCell ref="B10:E10"/>
    <mergeCell ref="F10:G10"/>
    <mergeCell ref="I10:J10"/>
    <mergeCell ref="B6:E6"/>
    <mergeCell ref="F6:O6"/>
    <mergeCell ref="B7:E7"/>
    <mergeCell ref="F7:P7"/>
    <mergeCell ref="B8:E8"/>
    <mergeCell ref="F8:G8"/>
    <mergeCell ref="I8:J8"/>
    <mergeCell ref="P12:P13"/>
    <mergeCell ref="B14:D14"/>
    <mergeCell ref="G14:J14"/>
    <mergeCell ref="A15:A16"/>
    <mergeCell ref="B15:D16"/>
    <mergeCell ref="G15:J15"/>
    <mergeCell ref="G16:J16"/>
    <mergeCell ref="B11:E11"/>
    <mergeCell ref="F11:P11"/>
    <mergeCell ref="A12:A13"/>
    <mergeCell ref="B12:E13"/>
    <mergeCell ref="F12:F13"/>
    <mergeCell ref="G12:K13"/>
    <mergeCell ref="L12:L13"/>
    <mergeCell ref="M12:M13"/>
    <mergeCell ref="N12:N13"/>
    <mergeCell ref="O12:O13"/>
    <mergeCell ref="B20:D20"/>
    <mergeCell ref="G20:J20"/>
    <mergeCell ref="B21:D21"/>
    <mergeCell ref="G21:J21"/>
    <mergeCell ref="B22:D22"/>
    <mergeCell ref="G22:J22"/>
    <mergeCell ref="B17:D17"/>
    <mergeCell ref="G17:J17"/>
    <mergeCell ref="B18:D18"/>
    <mergeCell ref="G18:J18"/>
    <mergeCell ref="B19:D19"/>
    <mergeCell ref="G19:J19"/>
    <mergeCell ref="M26:M27"/>
    <mergeCell ref="N26:N27"/>
    <mergeCell ref="O26:O27"/>
    <mergeCell ref="P26:P27"/>
    <mergeCell ref="B28:D28"/>
    <mergeCell ref="B29:D29"/>
    <mergeCell ref="B23:D23"/>
    <mergeCell ref="G23:J23"/>
    <mergeCell ref="A24:A25"/>
    <mergeCell ref="B24:P25"/>
    <mergeCell ref="A26:A27"/>
    <mergeCell ref="B26:D27"/>
    <mergeCell ref="E26:E27"/>
    <mergeCell ref="F26:F27"/>
    <mergeCell ref="G26:K26"/>
    <mergeCell ref="L26:L27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49:D49"/>
    <mergeCell ref="B50:D50"/>
    <mergeCell ref="B51:D51"/>
    <mergeCell ref="B52:D52"/>
    <mergeCell ref="B54:D54"/>
    <mergeCell ref="B55:D55"/>
    <mergeCell ref="B42:D42"/>
    <mergeCell ref="B43:D43"/>
    <mergeCell ref="B44:D44"/>
    <mergeCell ref="B45:D45"/>
    <mergeCell ref="B46:D46"/>
    <mergeCell ref="B48:D48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74:D74"/>
    <mergeCell ref="B75:D75"/>
    <mergeCell ref="B76:D76"/>
    <mergeCell ref="B78:D78"/>
    <mergeCell ref="B80:D80"/>
    <mergeCell ref="B81:D81"/>
    <mergeCell ref="B68:D68"/>
    <mergeCell ref="B69:D69"/>
    <mergeCell ref="B70:D70"/>
    <mergeCell ref="B71:D71"/>
    <mergeCell ref="B72:D72"/>
    <mergeCell ref="B73:D73"/>
    <mergeCell ref="B79:D79"/>
    <mergeCell ref="A83:A84"/>
    <mergeCell ref="B83:P84"/>
    <mergeCell ref="A85:A86"/>
    <mergeCell ref="B85:D86"/>
    <mergeCell ref="E85:E86"/>
    <mergeCell ref="F85:F86"/>
    <mergeCell ref="G85:K85"/>
    <mergeCell ref="L85:L86"/>
    <mergeCell ref="M85:M86"/>
    <mergeCell ref="N85:N86"/>
    <mergeCell ref="B91:D91"/>
    <mergeCell ref="B92:D92"/>
    <mergeCell ref="B93:D93"/>
    <mergeCell ref="B94:D94"/>
    <mergeCell ref="B95:D95"/>
    <mergeCell ref="B96:D96"/>
    <mergeCell ref="O85:O86"/>
    <mergeCell ref="P85:P86"/>
    <mergeCell ref="B87:D87"/>
    <mergeCell ref="B88:D88"/>
    <mergeCell ref="B89:D89"/>
    <mergeCell ref="B90:D90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25:D125"/>
    <mergeCell ref="B126:D126"/>
    <mergeCell ref="B127:D127"/>
    <mergeCell ref="B128:D128"/>
    <mergeCell ref="B129:D129"/>
    <mergeCell ref="B130:D130"/>
    <mergeCell ref="B121:P122"/>
    <mergeCell ref="B123:D124"/>
    <mergeCell ref="E123:E124"/>
    <mergeCell ref="F123:F124"/>
    <mergeCell ref="G123:K123"/>
    <mergeCell ref="L123:L124"/>
    <mergeCell ref="M123:M124"/>
    <mergeCell ref="N123:N124"/>
    <mergeCell ref="O123:O124"/>
    <mergeCell ref="P123:P124"/>
    <mergeCell ref="B137:D137"/>
    <mergeCell ref="B138:D138"/>
    <mergeCell ref="B139:D139"/>
    <mergeCell ref="B140:D140"/>
    <mergeCell ref="B141:D141"/>
    <mergeCell ref="B142:E142"/>
    <mergeCell ref="B131:D131"/>
    <mergeCell ref="B132:D132"/>
    <mergeCell ref="B133:D133"/>
    <mergeCell ref="B134:D134"/>
    <mergeCell ref="B135:D135"/>
    <mergeCell ref="B136:D136"/>
    <mergeCell ref="B147:E147"/>
    <mergeCell ref="F147:N147"/>
    <mergeCell ref="O147:P147"/>
    <mergeCell ref="B148:E148"/>
    <mergeCell ref="F148:N148"/>
    <mergeCell ref="O148:P148"/>
    <mergeCell ref="I142:J142"/>
    <mergeCell ref="B143:E143"/>
    <mergeCell ref="I143:J143"/>
    <mergeCell ref="B144:E144"/>
    <mergeCell ref="I144:J144"/>
    <mergeCell ref="B145:E145"/>
    <mergeCell ref="F145:O145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57"/>
  <sheetViews>
    <sheetView zoomScalePageLayoutView="0" workbookViewId="0" topLeftCell="A79">
      <selection activeCell="F134" sqref="F134"/>
    </sheetView>
  </sheetViews>
  <sheetFormatPr defaultColWidth="9.140625" defaultRowHeight="15"/>
  <cols>
    <col min="1" max="1" width="4.140625" style="174" customWidth="1"/>
    <col min="2" max="3" width="9.140625" style="174" customWidth="1"/>
    <col min="4" max="4" width="9.28125" style="174" customWidth="1"/>
    <col min="5" max="5" width="12.8515625" style="174" customWidth="1"/>
    <col min="6" max="6" width="15.140625" style="174" customWidth="1"/>
    <col min="7" max="7" width="13.140625" style="174" customWidth="1"/>
    <col min="8" max="8" width="12.8515625" style="174" customWidth="1"/>
    <col min="9" max="9" width="10.140625" style="174" customWidth="1"/>
    <col min="10" max="10" width="11.421875" style="174" customWidth="1"/>
    <col min="11" max="11" width="13.00390625" style="174" customWidth="1"/>
    <col min="12" max="12" width="14.8515625" style="174" customWidth="1"/>
    <col min="13" max="13" width="13.421875" style="174" customWidth="1"/>
    <col min="14" max="14" width="14.28125" style="174" customWidth="1"/>
    <col min="15" max="15" width="8.421875" style="174" customWidth="1"/>
    <col min="16" max="16" width="10.421875" style="174" customWidth="1"/>
    <col min="17" max="17" width="9.140625" style="174" customWidth="1"/>
    <col min="18" max="18" width="10.421875" style="174" bestFit="1" customWidth="1"/>
    <col min="19" max="19" width="11.140625" style="174" bestFit="1" customWidth="1"/>
    <col min="20" max="16384" width="9.140625" style="174" customWidth="1"/>
  </cols>
  <sheetData>
    <row r="1" spans="1:16" ht="15">
      <c r="A1" s="173"/>
      <c r="B1" s="485" t="s">
        <v>0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</row>
    <row r="2" spans="1:16" ht="15">
      <c r="A2" s="173"/>
      <c r="B2" s="520" t="s">
        <v>237</v>
      </c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</row>
    <row r="3" spans="1:16" ht="15.75" thickBot="1">
      <c r="A3" s="173"/>
      <c r="B3" s="521" t="s">
        <v>1</v>
      </c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</row>
    <row r="4" spans="1:16" ht="15.75" thickBot="1">
      <c r="A4" s="173"/>
      <c r="B4" s="522" t="s">
        <v>2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</row>
    <row r="5" spans="1:16" ht="15.75" thickBot="1">
      <c r="A5" s="2"/>
      <c r="B5" s="523" t="s">
        <v>193</v>
      </c>
      <c r="C5" s="524"/>
      <c r="D5" s="524"/>
      <c r="E5" s="525"/>
      <c r="F5" s="346"/>
      <c r="G5" s="346"/>
      <c r="H5" s="346"/>
      <c r="I5" s="346"/>
      <c r="J5" s="346"/>
      <c r="K5" s="346"/>
      <c r="L5" s="346"/>
      <c r="M5" s="346"/>
      <c r="N5" s="346"/>
      <c r="O5" s="489"/>
      <c r="P5" s="3">
        <v>365352.15</v>
      </c>
    </row>
    <row r="6" spans="1:16" ht="15.75" thickBot="1">
      <c r="A6" s="2"/>
      <c r="B6" s="523" t="s">
        <v>238</v>
      </c>
      <c r="C6" s="524"/>
      <c r="D6" s="524"/>
      <c r="E6" s="525"/>
      <c r="F6" s="346"/>
      <c r="G6" s="346"/>
      <c r="H6" s="346"/>
      <c r="I6" s="346"/>
      <c r="J6" s="346"/>
      <c r="K6" s="346"/>
      <c r="L6" s="346"/>
      <c r="M6" s="346"/>
      <c r="N6" s="346"/>
      <c r="O6" s="489"/>
      <c r="P6" s="253">
        <f>P10</f>
        <v>718168.3099999999</v>
      </c>
    </row>
    <row r="7" spans="1:16" ht="15.75" thickBot="1">
      <c r="A7" s="2"/>
      <c r="B7" s="526"/>
      <c r="C7" s="527"/>
      <c r="D7" s="527"/>
      <c r="E7" s="528"/>
      <c r="F7" s="529"/>
      <c r="G7" s="529"/>
      <c r="H7" s="529"/>
      <c r="I7" s="529"/>
      <c r="J7" s="529"/>
      <c r="K7" s="529"/>
      <c r="L7" s="529"/>
      <c r="M7" s="529"/>
      <c r="N7" s="530"/>
      <c r="O7" s="530"/>
      <c r="P7" s="531"/>
    </row>
    <row r="8" spans="1:16" ht="65.25" customHeight="1" thickBot="1">
      <c r="A8" s="4"/>
      <c r="B8" s="523" t="s">
        <v>3</v>
      </c>
      <c r="C8" s="524"/>
      <c r="D8" s="524"/>
      <c r="E8" s="525"/>
      <c r="F8" s="532" t="s">
        <v>4</v>
      </c>
      <c r="G8" s="533"/>
      <c r="H8" s="175" t="s">
        <v>5</v>
      </c>
      <c r="I8" s="532" t="s">
        <v>6</v>
      </c>
      <c r="J8" s="533"/>
      <c r="K8" s="176" t="s">
        <v>7</v>
      </c>
      <c r="L8" s="175" t="s">
        <v>8</v>
      </c>
      <c r="M8" s="259" t="s">
        <v>9</v>
      </c>
      <c r="N8" s="251" t="s">
        <v>10</v>
      </c>
      <c r="O8" s="178" t="s">
        <v>11</v>
      </c>
      <c r="P8" s="179"/>
    </row>
    <row r="9" spans="1:16" ht="15.75" thickBot="1">
      <c r="A9" s="2"/>
      <c r="B9" s="490" t="s">
        <v>12</v>
      </c>
      <c r="C9" s="491"/>
      <c r="D9" s="491"/>
      <c r="E9" s="492"/>
      <c r="F9" s="330">
        <v>0</v>
      </c>
      <c r="G9" s="331"/>
      <c r="H9" s="3">
        <v>0</v>
      </c>
      <c r="I9" s="330">
        <v>0</v>
      </c>
      <c r="J9" s="331"/>
      <c r="K9" s="78">
        <v>0</v>
      </c>
      <c r="L9" s="3">
        <v>0</v>
      </c>
      <c r="M9" s="252">
        <v>0</v>
      </c>
      <c r="N9" s="3">
        <v>0</v>
      </c>
      <c r="O9" s="75">
        <v>0</v>
      </c>
      <c r="P9" s="253">
        <v>0</v>
      </c>
    </row>
    <row r="10" spans="1:16" ht="15.75" thickBot="1">
      <c r="A10" s="2"/>
      <c r="B10" s="490" t="s">
        <v>13</v>
      </c>
      <c r="C10" s="491"/>
      <c r="D10" s="491"/>
      <c r="E10" s="492"/>
      <c r="F10" s="330">
        <v>288355.6</v>
      </c>
      <c r="G10" s="331"/>
      <c r="H10" s="3">
        <v>390504.07</v>
      </c>
      <c r="I10" s="330">
        <v>3149</v>
      </c>
      <c r="J10" s="331"/>
      <c r="K10" s="78">
        <v>0</v>
      </c>
      <c r="L10" s="3">
        <v>-2232.87</v>
      </c>
      <c r="M10" s="252">
        <v>0</v>
      </c>
      <c r="N10" s="3">
        <v>0</v>
      </c>
      <c r="O10" s="3">
        <v>38392.51</v>
      </c>
      <c r="P10" s="253">
        <f>SUM(F10:O10)</f>
        <v>718168.3099999999</v>
      </c>
    </row>
    <row r="11" spans="1:16" ht="15.75" thickBot="1">
      <c r="A11" s="256"/>
      <c r="B11" s="546"/>
      <c r="C11" s="547"/>
      <c r="D11" s="547"/>
      <c r="E11" s="547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9"/>
    </row>
    <row r="12" spans="1:16" ht="15">
      <c r="A12" s="446"/>
      <c r="B12" s="550" t="s">
        <v>14</v>
      </c>
      <c r="C12" s="551"/>
      <c r="D12" s="551"/>
      <c r="E12" s="552"/>
      <c r="F12" s="534"/>
      <c r="G12" s="556" t="s">
        <v>15</v>
      </c>
      <c r="H12" s="548"/>
      <c r="I12" s="548"/>
      <c r="J12" s="548"/>
      <c r="K12" s="549"/>
      <c r="L12" s="534" t="s">
        <v>16</v>
      </c>
      <c r="M12" s="534" t="s">
        <v>17</v>
      </c>
      <c r="N12" s="534" t="s">
        <v>18</v>
      </c>
      <c r="O12" s="534" t="s">
        <v>19</v>
      </c>
      <c r="P12" s="534" t="s">
        <v>20</v>
      </c>
    </row>
    <row r="13" spans="1:16" ht="12.75" customHeight="1" thickBot="1">
      <c r="A13" s="447"/>
      <c r="B13" s="553"/>
      <c r="C13" s="554"/>
      <c r="D13" s="554"/>
      <c r="E13" s="555"/>
      <c r="F13" s="535"/>
      <c r="G13" s="557"/>
      <c r="H13" s="558"/>
      <c r="I13" s="558"/>
      <c r="J13" s="558"/>
      <c r="K13" s="559"/>
      <c r="L13" s="535"/>
      <c r="M13" s="535"/>
      <c r="N13" s="535"/>
      <c r="O13" s="535"/>
      <c r="P13" s="535"/>
    </row>
    <row r="14" spans="1:16" ht="15.75" thickBot="1">
      <c r="A14" s="2"/>
      <c r="B14" s="536" t="s">
        <v>21</v>
      </c>
      <c r="C14" s="537"/>
      <c r="D14" s="538"/>
      <c r="E14" s="180" t="s">
        <v>22</v>
      </c>
      <c r="F14" s="263">
        <v>3</v>
      </c>
      <c r="G14" s="539">
        <v>4</v>
      </c>
      <c r="H14" s="529"/>
      <c r="I14" s="529"/>
      <c r="J14" s="531"/>
      <c r="K14" s="182">
        <v>5</v>
      </c>
      <c r="L14" s="262">
        <v>6</v>
      </c>
      <c r="M14" s="175">
        <v>7</v>
      </c>
      <c r="N14" s="262">
        <v>8</v>
      </c>
      <c r="O14" s="262">
        <v>9</v>
      </c>
      <c r="P14" s="175">
        <v>10</v>
      </c>
    </row>
    <row r="15" spans="1:16" ht="29.25" thickBot="1">
      <c r="A15" s="446"/>
      <c r="B15" s="540" t="s">
        <v>23</v>
      </c>
      <c r="C15" s="541"/>
      <c r="D15" s="542"/>
      <c r="E15" s="8" t="s">
        <v>24</v>
      </c>
      <c r="F15" s="8" t="s">
        <v>25</v>
      </c>
      <c r="G15" s="471" t="s">
        <v>26</v>
      </c>
      <c r="H15" s="472"/>
      <c r="I15" s="472"/>
      <c r="J15" s="473"/>
      <c r="K15" s="79" t="s">
        <v>27</v>
      </c>
      <c r="L15" s="9" t="s">
        <v>26</v>
      </c>
      <c r="M15" s="10" t="s">
        <v>28</v>
      </c>
      <c r="N15" s="10" t="s">
        <v>26</v>
      </c>
      <c r="O15" s="10" t="s">
        <v>26</v>
      </c>
      <c r="P15" s="11" t="s">
        <v>26</v>
      </c>
    </row>
    <row r="16" spans="1:16" ht="15.75" thickBot="1">
      <c r="A16" s="447"/>
      <c r="B16" s="543"/>
      <c r="C16" s="544"/>
      <c r="D16" s="545"/>
      <c r="E16" s="109">
        <f>SUM(E17:E23)</f>
        <v>680423</v>
      </c>
      <c r="F16" s="110">
        <f>SUM(F17:F23)</f>
        <v>11186709</v>
      </c>
      <c r="G16" s="474">
        <f>G17+G18+G19+G20+G21+G22+G23</f>
        <v>871450.75</v>
      </c>
      <c r="H16" s="475"/>
      <c r="I16" s="475"/>
      <c r="J16" s="476"/>
      <c r="K16" s="254">
        <f>SUM(K17:K23)</f>
        <v>871450.75</v>
      </c>
      <c r="L16" s="254">
        <f>SUM(L17:L23)</f>
        <v>12116236.54</v>
      </c>
      <c r="M16" s="254">
        <f>SUM(M17:M23)</f>
        <v>-191027.75</v>
      </c>
      <c r="N16" s="254">
        <f>SUM(N17:N23)</f>
        <v>-929527.5399999996</v>
      </c>
      <c r="O16" s="12">
        <v>0</v>
      </c>
      <c r="P16" s="12">
        <v>0</v>
      </c>
    </row>
    <row r="17" spans="1:18" ht="27" customHeight="1" thickBot="1">
      <c r="A17" s="184" t="s">
        <v>195</v>
      </c>
      <c r="B17" s="497" t="s">
        <v>146</v>
      </c>
      <c r="C17" s="498"/>
      <c r="D17" s="499"/>
      <c r="E17" s="108">
        <v>437711</v>
      </c>
      <c r="F17" s="108">
        <f>6604726+E17</f>
        <v>7042437</v>
      </c>
      <c r="G17" s="450">
        <v>505478.15</v>
      </c>
      <c r="H17" s="451"/>
      <c r="I17" s="451"/>
      <c r="J17" s="452"/>
      <c r="K17" s="255">
        <f aca="true" t="shared" si="0" ref="K17:K22">G17</f>
        <v>505478.15</v>
      </c>
      <c r="L17" s="15">
        <f>6146004.1+K17</f>
        <v>6651482.25</v>
      </c>
      <c r="M17" s="119">
        <f>E17-K17</f>
        <v>-67767.15000000002</v>
      </c>
      <c r="N17" s="124">
        <f>F17-L17</f>
        <v>390954.75</v>
      </c>
      <c r="O17" s="16">
        <v>0</v>
      </c>
      <c r="P17" s="16">
        <v>0</v>
      </c>
      <c r="Q17" s="173"/>
      <c r="R17" s="18">
        <v>365352.1499999948</v>
      </c>
    </row>
    <row r="18" spans="1:18" ht="36" customHeight="1" thickBot="1">
      <c r="A18" s="185" t="s">
        <v>196</v>
      </c>
      <c r="B18" s="566" t="s">
        <v>216</v>
      </c>
      <c r="C18" s="567"/>
      <c r="D18" s="568"/>
      <c r="E18" s="104">
        <v>240112</v>
      </c>
      <c r="F18" s="108">
        <f>3847960+E18</f>
        <v>4088072</v>
      </c>
      <c r="G18" s="450">
        <v>355490.1</v>
      </c>
      <c r="H18" s="451"/>
      <c r="I18" s="451"/>
      <c r="J18" s="452"/>
      <c r="K18" s="255">
        <f t="shared" si="0"/>
        <v>355490.1</v>
      </c>
      <c r="L18" s="15">
        <f>4108211+K18</f>
        <v>4463701.1</v>
      </c>
      <c r="M18" s="119">
        <f>E18-K18</f>
        <v>-115378.09999999998</v>
      </c>
      <c r="N18" s="124">
        <f>F18-L18</f>
        <v>-375629.0999999996</v>
      </c>
      <c r="O18" s="16">
        <v>0</v>
      </c>
      <c r="P18" s="16">
        <v>0</v>
      </c>
      <c r="Q18" s="173"/>
      <c r="R18" s="173"/>
    </row>
    <row r="19" spans="1:18" ht="20.25" customHeight="1" thickBot="1">
      <c r="A19" s="185" t="s">
        <v>197</v>
      </c>
      <c r="B19" s="569" t="s">
        <v>149</v>
      </c>
      <c r="C19" s="570"/>
      <c r="D19" s="571"/>
      <c r="E19" s="186"/>
      <c r="F19" s="108">
        <f>0+E19</f>
        <v>0</v>
      </c>
      <c r="G19" s="450">
        <v>5000</v>
      </c>
      <c r="H19" s="451"/>
      <c r="I19" s="451"/>
      <c r="J19" s="452"/>
      <c r="K19" s="255">
        <f t="shared" si="0"/>
        <v>5000</v>
      </c>
      <c r="L19" s="15">
        <f>117320+K19</f>
        <v>122320</v>
      </c>
      <c r="M19" s="119">
        <f aca="true" t="shared" si="1" ref="M19:N23">E19-K19</f>
        <v>-5000</v>
      </c>
      <c r="N19" s="124">
        <f t="shared" si="1"/>
        <v>-122320</v>
      </c>
      <c r="O19" s="16">
        <v>0</v>
      </c>
      <c r="P19" s="17">
        <v>0</v>
      </c>
      <c r="Q19" s="173"/>
      <c r="R19" s="173"/>
    </row>
    <row r="20" spans="1:18" ht="43.5" customHeight="1" thickBot="1">
      <c r="A20" s="187" t="s">
        <v>198</v>
      </c>
      <c r="B20" s="560" t="s">
        <v>147</v>
      </c>
      <c r="C20" s="561"/>
      <c r="D20" s="562"/>
      <c r="E20" s="188"/>
      <c r="F20" s="108">
        <f>0+E20</f>
        <v>0</v>
      </c>
      <c r="G20" s="450"/>
      <c r="H20" s="451"/>
      <c r="I20" s="451"/>
      <c r="J20" s="452"/>
      <c r="K20" s="255">
        <f t="shared" si="0"/>
        <v>0</v>
      </c>
      <c r="L20" s="15">
        <f>0+K20</f>
        <v>0</v>
      </c>
      <c r="M20" s="119">
        <f t="shared" si="1"/>
        <v>0</v>
      </c>
      <c r="N20" s="124">
        <f t="shared" si="1"/>
        <v>0</v>
      </c>
      <c r="O20" s="16">
        <v>0</v>
      </c>
      <c r="P20" s="16">
        <v>0</v>
      </c>
      <c r="Q20" s="18"/>
      <c r="R20" s="18"/>
    </row>
    <row r="21" spans="1:18" ht="22.5" customHeight="1" thickBot="1">
      <c r="A21" s="189" t="s">
        <v>199</v>
      </c>
      <c r="B21" s="563" t="s">
        <v>148</v>
      </c>
      <c r="C21" s="564"/>
      <c r="D21" s="565"/>
      <c r="E21" s="190"/>
      <c r="F21" s="108">
        <f>0+E21</f>
        <v>0</v>
      </c>
      <c r="G21" s="450"/>
      <c r="H21" s="451"/>
      <c r="I21" s="451"/>
      <c r="J21" s="452"/>
      <c r="K21" s="255">
        <f t="shared" si="0"/>
        <v>0</v>
      </c>
      <c r="L21" s="15">
        <f>0+K21</f>
        <v>0</v>
      </c>
      <c r="M21" s="119">
        <f t="shared" si="1"/>
        <v>0</v>
      </c>
      <c r="N21" s="124">
        <f t="shared" si="1"/>
        <v>0</v>
      </c>
      <c r="O21" s="16">
        <v>0</v>
      </c>
      <c r="P21" s="16">
        <v>0</v>
      </c>
      <c r="Q21" s="18"/>
      <c r="R21" s="173"/>
    </row>
    <row r="22" spans="1:18" ht="21" customHeight="1" thickBot="1">
      <c r="A22" s="189" t="s">
        <v>200</v>
      </c>
      <c r="B22" s="497" t="s">
        <v>201</v>
      </c>
      <c r="C22" s="498"/>
      <c r="D22" s="499"/>
      <c r="E22" s="82">
        <v>2600</v>
      </c>
      <c r="F22" s="108">
        <f>53600+E22</f>
        <v>56200</v>
      </c>
      <c r="G22" s="450">
        <v>5482.5</v>
      </c>
      <c r="H22" s="451"/>
      <c r="I22" s="451"/>
      <c r="J22" s="452"/>
      <c r="K22" s="255">
        <f t="shared" si="0"/>
        <v>5482.5</v>
      </c>
      <c r="L22" s="15">
        <f>65210.84+K22</f>
        <v>70693.34</v>
      </c>
      <c r="M22" s="119">
        <f>E22-K22</f>
        <v>-2882.5</v>
      </c>
      <c r="N22" s="124">
        <f t="shared" si="1"/>
        <v>-14493.339999999997</v>
      </c>
      <c r="O22" s="16">
        <v>0</v>
      </c>
      <c r="P22" s="16">
        <v>0</v>
      </c>
      <c r="Q22" s="173"/>
      <c r="R22" s="173"/>
    </row>
    <row r="23" spans="1:18" ht="23.25" customHeight="1" thickBot="1">
      <c r="A23" s="189" t="s">
        <v>202</v>
      </c>
      <c r="B23" s="572" t="s">
        <v>140</v>
      </c>
      <c r="C23" s="573"/>
      <c r="D23" s="574"/>
      <c r="E23" s="14"/>
      <c r="F23" s="108"/>
      <c r="G23" s="450"/>
      <c r="H23" s="451"/>
      <c r="I23" s="451"/>
      <c r="J23" s="452"/>
      <c r="K23" s="255">
        <f>G23</f>
        <v>0</v>
      </c>
      <c r="L23" s="15">
        <f>808039.85+K23</f>
        <v>808039.85</v>
      </c>
      <c r="M23" s="119">
        <f t="shared" si="1"/>
        <v>0</v>
      </c>
      <c r="N23" s="124">
        <f t="shared" si="1"/>
        <v>-808039.85</v>
      </c>
      <c r="O23" s="16">
        <v>0</v>
      </c>
      <c r="P23" s="16">
        <v>0</v>
      </c>
      <c r="Q23" s="173"/>
      <c r="R23" s="173"/>
    </row>
    <row r="24" spans="1:18" ht="15">
      <c r="A24" s="446"/>
      <c r="B24" s="575" t="s">
        <v>30</v>
      </c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7"/>
      <c r="Q24" s="173"/>
      <c r="R24" s="173"/>
    </row>
    <row r="25" spans="1:18" ht="4.5" customHeight="1" thickBot="1">
      <c r="A25" s="447"/>
      <c r="B25" s="578"/>
      <c r="C25" s="579"/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579"/>
      <c r="P25" s="580"/>
      <c r="Q25" s="173"/>
      <c r="R25" s="173"/>
    </row>
    <row r="26" spans="1:18" ht="15.75" thickBot="1">
      <c r="A26" s="446"/>
      <c r="B26" s="550" t="s">
        <v>14</v>
      </c>
      <c r="C26" s="551"/>
      <c r="D26" s="552"/>
      <c r="E26" s="581" t="s">
        <v>24</v>
      </c>
      <c r="F26" s="583" t="s">
        <v>25</v>
      </c>
      <c r="G26" s="532" t="s">
        <v>31</v>
      </c>
      <c r="H26" s="522"/>
      <c r="I26" s="522"/>
      <c r="J26" s="522"/>
      <c r="K26" s="533"/>
      <c r="L26" s="534" t="s">
        <v>16</v>
      </c>
      <c r="M26" s="534" t="s">
        <v>17</v>
      </c>
      <c r="N26" s="534" t="s">
        <v>18</v>
      </c>
      <c r="O26" s="534" t="s">
        <v>19</v>
      </c>
      <c r="P26" s="534" t="s">
        <v>20</v>
      </c>
      <c r="Q26" s="173"/>
      <c r="R26" s="173"/>
    </row>
    <row r="27" spans="1:18" ht="59.25" customHeight="1" thickBot="1">
      <c r="A27" s="447"/>
      <c r="B27" s="553"/>
      <c r="C27" s="554"/>
      <c r="D27" s="555"/>
      <c r="E27" s="582"/>
      <c r="F27" s="584"/>
      <c r="G27" s="264" t="s">
        <v>32</v>
      </c>
      <c r="H27" s="264" t="s">
        <v>33</v>
      </c>
      <c r="I27" s="264" t="s">
        <v>34</v>
      </c>
      <c r="J27" s="175" t="s">
        <v>220</v>
      </c>
      <c r="K27" s="176" t="s">
        <v>27</v>
      </c>
      <c r="L27" s="535"/>
      <c r="M27" s="535"/>
      <c r="N27" s="535"/>
      <c r="O27" s="535"/>
      <c r="P27" s="535"/>
      <c r="Q27" s="173"/>
      <c r="R27" s="18">
        <v>365352.1499999948</v>
      </c>
    </row>
    <row r="28" spans="1:18" ht="15.75" thickBot="1">
      <c r="A28" s="2"/>
      <c r="B28" s="536">
        <v>1</v>
      </c>
      <c r="C28" s="537"/>
      <c r="D28" s="538"/>
      <c r="E28" s="180" t="s">
        <v>22</v>
      </c>
      <c r="F28" s="264">
        <v>3</v>
      </c>
      <c r="G28" s="264">
        <v>4</v>
      </c>
      <c r="H28" s="264">
        <v>5</v>
      </c>
      <c r="I28" s="175">
        <v>6</v>
      </c>
      <c r="J28" s="175">
        <v>7</v>
      </c>
      <c r="K28" s="192">
        <v>8</v>
      </c>
      <c r="L28" s="262">
        <v>9</v>
      </c>
      <c r="M28" s="175">
        <v>10</v>
      </c>
      <c r="N28" s="262">
        <v>11</v>
      </c>
      <c r="O28" s="175">
        <v>12</v>
      </c>
      <c r="P28" s="262">
        <v>13</v>
      </c>
      <c r="Q28" s="173"/>
      <c r="R28" s="173"/>
    </row>
    <row r="29" spans="1:18" ht="15.75" thickBot="1">
      <c r="A29" s="2"/>
      <c r="B29" s="539" t="s">
        <v>23</v>
      </c>
      <c r="C29" s="529"/>
      <c r="D29" s="531"/>
      <c r="E29" s="76">
        <f aca="true" t="shared" si="2" ref="E29:J29">E30+E34+E38+E44+E51+E54+E64+E67+E71+E74+E78+E80+E88+E101+E132+E135+E138+E141</f>
        <v>592423</v>
      </c>
      <c r="F29" s="76">
        <f t="shared" si="2"/>
        <v>10988727</v>
      </c>
      <c r="G29" s="76">
        <f t="shared" si="2"/>
        <v>743505.78</v>
      </c>
      <c r="H29" s="76">
        <f t="shared" si="2"/>
        <v>487151.99</v>
      </c>
      <c r="I29" s="76">
        <f t="shared" si="2"/>
        <v>0</v>
      </c>
      <c r="J29" s="76">
        <f t="shared" si="2"/>
        <v>18613.11</v>
      </c>
      <c r="K29" s="76">
        <f>K30+K34+K38+K44+K51+K54+K64+K67+K71+K74+K78+K80+K88+K101+K132+K135+K138+K141</f>
        <v>1230657.77</v>
      </c>
      <c r="L29" s="76">
        <f>L30+L34+L38+L44+L51+L54+L64+L67+L71+L74+L78+L80+L88+L101+L132+L135+L138+L141</f>
        <v>12141240.51</v>
      </c>
      <c r="M29" s="76">
        <f>M30+M34+M38+M44+M51+M54+M64+M67+M71+M74+M78+M80+M88+M101+M132+M135+M138+M141</f>
        <v>-638234.77</v>
      </c>
      <c r="N29" s="76">
        <f>N30+N34+N38+N44+N51+N54+N64+N67+N71+N74+N78+N80+N88+N101+N132+N135+N138+N141</f>
        <v>-1152513.5099999998</v>
      </c>
      <c r="O29" s="21">
        <v>0</v>
      </c>
      <c r="P29" s="21">
        <v>0</v>
      </c>
      <c r="Q29" s="173"/>
      <c r="R29" s="18"/>
    </row>
    <row r="30" spans="1:18" ht="15.75" thickBot="1">
      <c r="A30" s="22" t="s">
        <v>21</v>
      </c>
      <c r="B30" s="426" t="s">
        <v>36</v>
      </c>
      <c r="C30" s="338"/>
      <c r="D30" s="339"/>
      <c r="E30" s="111">
        <f>SUM(E31:E32)</f>
        <v>214800</v>
      </c>
      <c r="F30" s="81">
        <f>F31+F32+F33</f>
        <v>5933413</v>
      </c>
      <c r="G30" s="20">
        <f>G31+G32+G33</f>
        <v>237142.89</v>
      </c>
      <c r="H30" s="20">
        <f>H31</f>
        <v>378322.99</v>
      </c>
      <c r="I30" s="20"/>
      <c r="J30" s="20"/>
      <c r="K30" s="81">
        <f>G30+H30</f>
        <v>615465.88</v>
      </c>
      <c r="L30" s="23">
        <f>L31+L32</f>
        <v>5538525.42</v>
      </c>
      <c r="M30" s="120">
        <f>E30-K30</f>
        <v>-400665.88</v>
      </c>
      <c r="N30" s="122">
        <f>F30-L30</f>
        <v>394887.5800000001</v>
      </c>
      <c r="O30" s="26">
        <v>0</v>
      </c>
      <c r="P30" s="27">
        <v>0</v>
      </c>
      <c r="Q30" s="18"/>
      <c r="R30" s="18"/>
    </row>
    <row r="31" spans="1:18" ht="15.75" thickBot="1">
      <c r="A31" s="29" t="s">
        <v>150</v>
      </c>
      <c r="B31" s="430" t="s">
        <v>151</v>
      </c>
      <c r="C31" s="431"/>
      <c r="D31" s="432"/>
      <c r="E31" s="112">
        <v>186800</v>
      </c>
      <c r="F31" s="108">
        <f>3137653+E31</f>
        <v>3324453</v>
      </c>
      <c r="G31" s="33"/>
      <c r="H31" s="33">
        <v>378322.99</v>
      </c>
      <c r="I31" s="33"/>
      <c r="J31" s="33"/>
      <c r="K31" s="82">
        <f>H31</f>
        <v>378322.99</v>
      </c>
      <c r="L31" s="15">
        <f>3038786.6+K31</f>
        <v>3417109.59</v>
      </c>
      <c r="M31" s="119">
        <f>E31-K31</f>
        <v>-191522.99</v>
      </c>
      <c r="N31" s="121">
        <f>F31-L31</f>
        <v>-92656.58999999985</v>
      </c>
      <c r="O31" s="31">
        <v>0</v>
      </c>
      <c r="P31" s="123">
        <v>0</v>
      </c>
      <c r="Q31" s="18"/>
      <c r="R31" s="18"/>
    </row>
    <row r="32" spans="1:18" ht="15.75" thickBot="1">
      <c r="A32" s="29" t="s">
        <v>153</v>
      </c>
      <c r="B32" s="340" t="s">
        <v>152</v>
      </c>
      <c r="C32" s="341"/>
      <c r="D32" s="342"/>
      <c r="E32" s="112">
        <v>28000</v>
      </c>
      <c r="F32" s="108">
        <f>2580960+E32</f>
        <v>2608960</v>
      </c>
      <c r="G32" s="33">
        <v>237142.89</v>
      </c>
      <c r="H32" s="33"/>
      <c r="I32" s="33"/>
      <c r="J32" s="33"/>
      <c r="K32" s="15">
        <f>0+G32</f>
        <v>237142.89</v>
      </c>
      <c r="L32" s="15">
        <f>1884272.94+K32</f>
        <v>2121415.83</v>
      </c>
      <c r="M32" s="119">
        <f>E32-K32</f>
        <v>-209142.89</v>
      </c>
      <c r="N32" s="121">
        <f>F32-L32</f>
        <v>487544.1699999999</v>
      </c>
      <c r="O32" s="31">
        <v>0</v>
      </c>
      <c r="P32" s="123">
        <v>0</v>
      </c>
      <c r="Q32" s="18"/>
      <c r="R32" s="18"/>
    </row>
    <row r="33" spans="1:18" ht="15.75" thickBot="1">
      <c r="A33" s="29" t="s">
        <v>155</v>
      </c>
      <c r="B33" s="340" t="s">
        <v>154</v>
      </c>
      <c r="C33" s="341"/>
      <c r="D33" s="342"/>
      <c r="E33" s="95"/>
      <c r="F33" s="15"/>
      <c r="G33" s="33"/>
      <c r="H33" s="33"/>
      <c r="I33" s="33"/>
      <c r="J33" s="33"/>
      <c r="K33" s="82"/>
      <c r="L33" s="15"/>
      <c r="M33" s="193"/>
      <c r="N33" s="194"/>
      <c r="O33" s="31"/>
      <c r="P33" s="123"/>
      <c r="Q33" s="18"/>
      <c r="R33" s="18"/>
    </row>
    <row r="34" spans="1:18" ht="29.25" customHeight="1" thickBot="1">
      <c r="A34" s="128" t="s">
        <v>22</v>
      </c>
      <c r="B34" s="395" t="s">
        <v>37</v>
      </c>
      <c r="C34" s="396"/>
      <c r="D34" s="397"/>
      <c r="E34" s="81">
        <f>SUM(E35:E37)</f>
        <v>46218</v>
      </c>
      <c r="F34" s="81">
        <f>F35+F36+F37</f>
        <v>1201377</v>
      </c>
      <c r="G34" s="20">
        <f>G35+G36+G37</f>
        <v>205095.32</v>
      </c>
      <c r="H34" s="20">
        <f>H35</f>
        <v>108829</v>
      </c>
      <c r="I34" s="20"/>
      <c r="J34" s="20"/>
      <c r="K34" s="81">
        <f>G34+H34</f>
        <v>313924.32</v>
      </c>
      <c r="L34" s="23">
        <f>L35+L36</f>
        <v>1096438.89</v>
      </c>
      <c r="M34" s="120">
        <f aca="true" t="shared" si="3" ref="M34:N36">E34-K34</f>
        <v>-267706.32</v>
      </c>
      <c r="N34" s="125">
        <f t="shared" si="3"/>
        <v>104938.1100000001</v>
      </c>
      <c r="O34" s="26">
        <v>0</v>
      </c>
      <c r="P34" s="27">
        <v>0</v>
      </c>
      <c r="Q34" s="173"/>
      <c r="R34" s="173"/>
    </row>
    <row r="35" spans="1:18" ht="15.75" thickBot="1">
      <c r="A35" s="29" t="s">
        <v>156</v>
      </c>
      <c r="B35" s="430" t="s">
        <v>151</v>
      </c>
      <c r="C35" s="431"/>
      <c r="D35" s="432"/>
      <c r="E35" s="82">
        <v>40562</v>
      </c>
      <c r="F35" s="108">
        <f>633805+E35</f>
        <v>674367</v>
      </c>
      <c r="G35" s="33"/>
      <c r="H35" s="33">
        <v>108829</v>
      </c>
      <c r="I35" s="33"/>
      <c r="J35" s="33"/>
      <c r="K35" s="82">
        <f>H35</f>
        <v>108829</v>
      </c>
      <c r="L35" s="15">
        <f>525914.33+K35</f>
        <v>634743.33</v>
      </c>
      <c r="M35" s="119">
        <f t="shared" si="3"/>
        <v>-68267</v>
      </c>
      <c r="N35" s="121">
        <f t="shared" si="3"/>
        <v>39623.67000000004</v>
      </c>
      <c r="O35" s="31">
        <v>0</v>
      </c>
      <c r="P35" s="123">
        <v>0</v>
      </c>
      <c r="Q35" s="173"/>
      <c r="R35" s="248">
        <f>10506304-F29</f>
        <v>-482423</v>
      </c>
    </row>
    <row r="36" spans="1:18" ht="15.75" thickBot="1">
      <c r="A36" s="29" t="s">
        <v>157</v>
      </c>
      <c r="B36" s="340" t="s">
        <v>152</v>
      </c>
      <c r="C36" s="341"/>
      <c r="D36" s="342"/>
      <c r="E36" s="82">
        <v>5656</v>
      </c>
      <c r="F36" s="108">
        <f>521354+E36</f>
        <v>527010</v>
      </c>
      <c r="G36" s="33">
        <v>205095.32</v>
      </c>
      <c r="H36" s="33"/>
      <c r="I36" s="33"/>
      <c r="J36" s="33"/>
      <c r="K36" s="82">
        <f>G36</f>
        <v>205095.32</v>
      </c>
      <c r="L36" s="15">
        <f>256600.24+K36</f>
        <v>461695.56</v>
      </c>
      <c r="M36" s="119">
        <f t="shared" si="3"/>
        <v>-199439.32</v>
      </c>
      <c r="N36" s="121">
        <f t="shared" si="3"/>
        <v>65314.44</v>
      </c>
      <c r="O36" s="31">
        <v>0</v>
      </c>
      <c r="P36" s="123">
        <v>0</v>
      </c>
      <c r="Q36" s="173"/>
      <c r="R36" s="173"/>
    </row>
    <row r="37" spans="1:18" ht="15.75" thickBot="1">
      <c r="A37" s="29" t="s">
        <v>158</v>
      </c>
      <c r="B37" s="340" t="s">
        <v>154</v>
      </c>
      <c r="C37" s="341"/>
      <c r="D37" s="342"/>
      <c r="E37" s="82"/>
      <c r="F37" s="108"/>
      <c r="G37" s="33"/>
      <c r="H37" s="33"/>
      <c r="I37" s="33"/>
      <c r="J37" s="33"/>
      <c r="K37" s="82"/>
      <c r="L37" s="15"/>
      <c r="M37" s="193"/>
      <c r="N37" s="195"/>
      <c r="O37" s="31"/>
      <c r="P37" s="123"/>
      <c r="Q37" s="173"/>
      <c r="R37" s="173"/>
    </row>
    <row r="38" spans="1:18" ht="16.5" customHeight="1" thickBot="1">
      <c r="A38" s="22" t="s">
        <v>38</v>
      </c>
      <c r="B38" s="395" t="s">
        <v>39</v>
      </c>
      <c r="C38" s="396"/>
      <c r="D38" s="397"/>
      <c r="E38" s="81">
        <f>SUM(E41:E43)</f>
        <v>4500</v>
      </c>
      <c r="F38" s="114">
        <f>F41+F42+F43</f>
        <v>34500</v>
      </c>
      <c r="G38" s="20">
        <f>G40</f>
        <v>4536.25</v>
      </c>
      <c r="H38" s="20"/>
      <c r="I38" s="20"/>
      <c r="J38" s="20"/>
      <c r="K38" s="23">
        <f>K39+K40</f>
        <v>4536.25</v>
      </c>
      <c r="L38" s="23">
        <f>26658.22+K38</f>
        <v>31194.47</v>
      </c>
      <c r="M38" s="120">
        <f>E38-K38</f>
        <v>-36.25</v>
      </c>
      <c r="N38" s="122">
        <f>F38-L38</f>
        <v>3305.529999999999</v>
      </c>
      <c r="O38" s="26">
        <v>0</v>
      </c>
      <c r="P38" s="27">
        <v>0</v>
      </c>
      <c r="Q38" s="173"/>
      <c r="R38" s="173"/>
    </row>
    <row r="39" spans="1:18" ht="15.75" thickBot="1">
      <c r="A39" s="29" t="s">
        <v>159</v>
      </c>
      <c r="B39" s="430" t="s">
        <v>151</v>
      </c>
      <c r="C39" s="431"/>
      <c r="D39" s="432"/>
      <c r="E39" s="15"/>
      <c r="F39" s="108"/>
      <c r="G39" s="33"/>
      <c r="H39" s="33"/>
      <c r="I39" s="33"/>
      <c r="J39" s="33"/>
      <c r="K39" s="82"/>
      <c r="L39" s="15"/>
      <c r="M39" s="193"/>
      <c r="N39" s="195"/>
      <c r="O39" s="31"/>
      <c r="P39" s="123"/>
      <c r="Q39" s="173"/>
      <c r="R39" s="173"/>
    </row>
    <row r="40" spans="1:18" ht="15.75" thickBot="1">
      <c r="A40" s="29" t="s">
        <v>160</v>
      </c>
      <c r="B40" s="340" t="s">
        <v>152</v>
      </c>
      <c r="C40" s="341"/>
      <c r="D40" s="342"/>
      <c r="E40" s="82">
        <v>4500</v>
      </c>
      <c r="F40" s="108">
        <f>30000+E40</f>
        <v>34500</v>
      </c>
      <c r="G40" s="33">
        <f>G41+G42</f>
        <v>4536.25</v>
      </c>
      <c r="H40" s="33"/>
      <c r="I40" s="33"/>
      <c r="J40" s="33"/>
      <c r="K40" s="15">
        <f>0+G40</f>
        <v>4536.25</v>
      </c>
      <c r="L40" s="15">
        <f>L41+L42+L43</f>
        <v>31194.47</v>
      </c>
      <c r="M40" s="119">
        <f aca="true" t="shared" si="4" ref="M40:N55">E40-K40</f>
        <v>-36.25</v>
      </c>
      <c r="N40" s="121">
        <f t="shared" si="4"/>
        <v>3305.529999999999</v>
      </c>
      <c r="O40" s="31">
        <v>0</v>
      </c>
      <c r="P40" s="123">
        <v>0</v>
      </c>
      <c r="Q40" s="173"/>
      <c r="R40" s="173"/>
    </row>
    <row r="41" spans="1:18" ht="15.75" thickBot="1">
      <c r="A41" s="29" t="s">
        <v>40</v>
      </c>
      <c r="B41" s="427" t="s">
        <v>41</v>
      </c>
      <c r="C41" s="428"/>
      <c r="D41" s="429"/>
      <c r="E41" s="108">
        <v>2281</v>
      </c>
      <c r="F41" s="108">
        <f>13686+E41</f>
        <v>15967</v>
      </c>
      <c r="G41" s="33">
        <v>2317.25</v>
      </c>
      <c r="H41" s="33"/>
      <c r="I41" s="33"/>
      <c r="J41" s="33"/>
      <c r="K41" s="15">
        <f>0+G41</f>
        <v>2317.25</v>
      </c>
      <c r="L41" s="15">
        <f>13344.22+K41</f>
        <v>15661.47</v>
      </c>
      <c r="M41" s="119">
        <f t="shared" si="4"/>
        <v>-36.25</v>
      </c>
      <c r="N41" s="121">
        <f t="shared" si="4"/>
        <v>305.53000000000065</v>
      </c>
      <c r="O41" s="31">
        <v>0</v>
      </c>
      <c r="P41" s="123">
        <v>0</v>
      </c>
      <c r="Q41" s="173"/>
      <c r="R41" s="173"/>
    </row>
    <row r="42" spans="1:18" ht="15.75" thickBot="1">
      <c r="A42" s="29" t="s">
        <v>42</v>
      </c>
      <c r="B42" s="427" t="s">
        <v>43</v>
      </c>
      <c r="C42" s="428"/>
      <c r="D42" s="429"/>
      <c r="E42" s="108">
        <v>2219</v>
      </c>
      <c r="F42" s="108">
        <f>13314+E42</f>
        <v>15533</v>
      </c>
      <c r="G42" s="33">
        <v>2219</v>
      </c>
      <c r="H42" s="33"/>
      <c r="I42" s="33"/>
      <c r="J42" s="33"/>
      <c r="K42" s="15">
        <f>0+G42</f>
        <v>2219</v>
      </c>
      <c r="L42" s="15">
        <f>13314+K42</f>
        <v>15533</v>
      </c>
      <c r="M42" s="119">
        <f t="shared" si="4"/>
        <v>0</v>
      </c>
      <c r="N42" s="121">
        <f t="shared" si="4"/>
        <v>0</v>
      </c>
      <c r="O42" s="31">
        <v>0</v>
      </c>
      <c r="P42" s="123">
        <v>0</v>
      </c>
      <c r="Q42" s="173"/>
      <c r="R42" s="173"/>
    </row>
    <row r="43" spans="1:18" ht="15.75" thickBot="1">
      <c r="A43" s="29" t="s">
        <v>44</v>
      </c>
      <c r="B43" s="427" t="s">
        <v>45</v>
      </c>
      <c r="C43" s="428"/>
      <c r="D43" s="429"/>
      <c r="E43" s="108"/>
      <c r="F43" s="108">
        <f>3000+E43</f>
        <v>3000</v>
      </c>
      <c r="G43" s="13"/>
      <c r="H43" s="13"/>
      <c r="I43" s="13"/>
      <c r="J43" s="33"/>
      <c r="K43" s="15">
        <f>0+J43</f>
        <v>0</v>
      </c>
      <c r="L43" s="15">
        <f>0+K43</f>
        <v>0</v>
      </c>
      <c r="M43" s="119">
        <f t="shared" si="4"/>
        <v>0</v>
      </c>
      <c r="N43" s="121">
        <f t="shared" si="4"/>
        <v>3000</v>
      </c>
      <c r="O43" s="31">
        <v>0</v>
      </c>
      <c r="P43" s="123">
        <v>0</v>
      </c>
      <c r="Q43" s="173"/>
      <c r="R43" s="18"/>
    </row>
    <row r="44" spans="1:18" ht="28.5" customHeight="1" thickBot="1">
      <c r="A44" s="22" t="s">
        <v>46</v>
      </c>
      <c r="B44" s="395" t="s">
        <v>47</v>
      </c>
      <c r="C44" s="396"/>
      <c r="D44" s="397"/>
      <c r="E44" s="81">
        <f>SUM(E47:E49)</f>
        <v>0</v>
      </c>
      <c r="F44" s="114">
        <f>1025200+E44</f>
        <v>1025200</v>
      </c>
      <c r="G44" s="23">
        <f>G45+G46+G47</f>
        <v>0</v>
      </c>
      <c r="H44" s="32"/>
      <c r="I44" s="32"/>
      <c r="J44" s="20"/>
      <c r="K44" s="23">
        <f>K45+K46+K47</f>
        <v>0</v>
      </c>
      <c r="L44" s="23">
        <f>1164305.5+K44</f>
        <v>1164305.5</v>
      </c>
      <c r="M44" s="120">
        <f t="shared" si="4"/>
        <v>0</v>
      </c>
      <c r="N44" s="122">
        <f t="shared" si="4"/>
        <v>-139105.5</v>
      </c>
      <c r="O44" s="26">
        <v>0</v>
      </c>
      <c r="P44" s="27">
        <v>0</v>
      </c>
      <c r="Q44" s="173"/>
      <c r="R44" s="173"/>
    </row>
    <row r="45" spans="1:18" ht="15.75" thickBot="1">
      <c r="A45" s="29" t="s">
        <v>161</v>
      </c>
      <c r="B45" s="340" t="s">
        <v>152</v>
      </c>
      <c r="C45" s="341"/>
      <c r="D45" s="342"/>
      <c r="E45" s="112">
        <f>E48+E49</f>
        <v>0</v>
      </c>
      <c r="F45" s="108">
        <f>1135200+E45</f>
        <v>1135200</v>
      </c>
      <c r="G45" s="15">
        <f>G48+G49</f>
        <v>0</v>
      </c>
      <c r="H45" s="13"/>
      <c r="I45" s="13"/>
      <c r="J45" s="33"/>
      <c r="K45" s="15">
        <f>0+G45</f>
        <v>0</v>
      </c>
      <c r="L45" s="15">
        <f>L48+L49</f>
        <v>1164305.5</v>
      </c>
      <c r="M45" s="119">
        <f t="shared" si="4"/>
        <v>0</v>
      </c>
      <c r="N45" s="124">
        <f t="shared" si="4"/>
        <v>-29105.5</v>
      </c>
      <c r="O45" s="31">
        <v>0</v>
      </c>
      <c r="P45" s="123">
        <v>0</v>
      </c>
      <c r="Q45" s="173"/>
      <c r="R45" s="173"/>
    </row>
    <row r="46" spans="1:18" ht="15.75" thickBot="1">
      <c r="A46" s="29" t="s">
        <v>162</v>
      </c>
      <c r="B46" s="430" t="s">
        <v>151</v>
      </c>
      <c r="C46" s="431"/>
      <c r="D46" s="432"/>
      <c r="E46" s="94"/>
      <c r="F46" s="108"/>
      <c r="G46" s="15"/>
      <c r="H46" s="13"/>
      <c r="I46" s="13"/>
      <c r="J46" s="33"/>
      <c r="K46" s="15">
        <f aca="true" t="shared" si="5" ref="K46:K53">0+G46</f>
        <v>0</v>
      </c>
      <c r="L46" s="15">
        <f aca="true" t="shared" si="6" ref="L46:L61">0+K46</f>
        <v>0</v>
      </c>
      <c r="M46" s="119">
        <f t="shared" si="4"/>
        <v>0</v>
      </c>
      <c r="N46" s="121">
        <f t="shared" si="4"/>
        <v>0</v>
      </c>
      <c r="O46" s="31">
        <v>0</v>
      </c>
      <c r="P46" s="123">
        <v>0</v>
      </c>
      <c r="Q46" s="173"/>
      <c r="R46" s="173"/>
    </row>
    <row r="47" spans="1:18" ht="15.75" thickBot="1">
      <c r="A47" s="29" t="s">
        <v>163</v>
      </c>
      <c r="B47" s="96" t="s">
        <v>154</v>
      </c>
      <c r="C47" s="97"/>
      <c r="D47" s="97"/>
      <c r="E47" s="126"/>
      <c r="F47" s="108"/>
      <c r="G47" s="15"/>
      <c r="H47" s="13"/>
      <c r="I47" s="13"/>
      <c r="J47" s="33"/>
      <c r="K47" s="15">
        <f t="shared" si="5"/>
        <v>0</v>
      </c>
      <c r="L47" s="15">
        <f t="shared" si="6"/>
        <v>0</v>
      </c>
      <c r="M47" s="119">
        <f t="shared" si="4"/>
        <v>0</v>
      </c>
      <c r="N47" s="121">
        <f t="shared" si="4"/>
        <v>0</v>
      </c>
      <c r="O47" s="31">
        <v>0</v>
      </c>
      <c r="P47" s="123">
        <v>0</v>
      </c>
      <c r="Q47" s="173"/>
      <c r="R47" s="196"/>
    </row>
    <row r="48" spans="1:18" ht="15.75" thickBot="1">
      <c r="A48" s="29" t="s">
        <v>48</v>
      </c>
      <c r="B48" s="359" t="s">
        <v>49</v>
      </c>
      <c r="C48" s="360"/>
      <c r="D48" s="361"/>
      <c r="E48" s="108">
        <v>0</v>
      </c>
      <c r="F48" s="108">
        <f>1110000+E48</f>
        <v>1110000</v>
      </c>
      <c r="G48" s="13"/>
      <c r="H48" s="13"/>
      <c r="I48" s="13"/>
      <c r="J48" s="33"/>
      <c r="K48" s="15">
        <f t="shared" si="5"/>
        <v>0</v>
      </c>
      <c r="L48" s="15">
        <f>1151297+K48</f>
        <v>1151297</v>
      </c>
      <c r="M48" s="119">
        <f t="shared" si="4"/>
        <v>0</v>
      </c>
      <c r="N48" s="121">
        <f t="shared" si="4"/>
        <v>-41297</v>
      </c>
      <c r="O48" s="31">
        <v>0</v>
      </c>
      <c r="P48" s="123">
        <v>0</v>
      </c>
      <c r="Q48" s="173"/>
      <c r="R48" s="18"/>
    </row>
    <row r="49" spans="1:18" ht="15.75" thickBot="1">
      <c r="A49" s="29" t="s">
        <v>50</v>
      </c>
      <c r="B49" s="359" t="s">
        <v>51</v>
      </c>
      <c r="C49" s="360"/>
      <c r="D49" s="361"/>
      <c r="E49" s="108">
        <v>0</v>
      </c>
      <c r="F49" s="108">
        <f>25200+E49</f>
        <v>25200</v>
      </c>
      <c r="G49" s="13"/>
      <c r="H49" s="13"/>
      <c r="I49" s="13"/>
      <c r="J49" s="33"/>
      <c r="K49" s="15">
        <f t="shared" si="5"/>
        <v>0</v>
      </c>
      <c r="L49" s="15">
        <f>13008.5+K49</f>
        <v>13008.5</v>
      </c>
      <c r="M49" s="119">
        <f t="shared" si="4"/>
        <v>0</v>
      </c>
      <c r="N49" s="121">
        <f t="shared" si="4"/>
        <v>12191.5</v>
      </c>
      <c r="O49" s="31">
        <v>0</v>
      </c>
      <c r="P49" s="123">
        <v>0</v>
      </c>
      <c r="Q49" s="173"/>
      <c r="R49" s="173"/>
    </row>
    <row r="50" spans="1:18" ht="15.75" thickBot="1">
      <c r="A50" s="29" t="s">
        <v>52</v>
      </c>
      <c r="B50" s="359" t="s">
        <v>53</v>
      </c>
      <c r="C50" s="360"/>
      <c r="D50" s="361"/>
      <c r="E50" s="13">
        <v>0</v>
      </c>
      <c r="F50" s="108">
        <f>0+E50</f>
        <v>0</v>
      </c>
      <c r="G50" s="13"/>
      <c r="H50" s="13"/>
      <c r="I50" s="13"/>
      <c r="J50" s="33"/>
      <c r="K50" s="15">
        <f t="shared" si="5"/>
        <v>0</v>
      </c>
      <c r="L50" s="15">
        <f t="shared" si="6"/>
        <v>0</v>
      </c>
      <c r="M50" s="119">
        <f t="shared" si="4"/>
        <v>0</v>
      </c>
      <c r="N50" s="121">
        <f t="shared" si="4"/>
        <v>0</v>
      </c>
      <c r="O50" s="31">
        <v>0</v>
      </c>
      <c r="P50" s="123">
        <v>0</v>
      </c>
      <c r="Q50" s="173"/>
      <c r="R50" s="173"/>
    </row>
    <row r="51" spans="1:18" ht="32.25" customHeight="1" thickBot="1">
      <c r="A51" s="22" t="s">
        <v>54</v>
      </c>
      <c r="B51" s="425" t="s">
        <v>55</v>
      </c>
      <c r="C51" s="323"/>
      <c r="D51" s="324"/>
      <c r="E51" s="23">
        <v>0</v>
      </c>
      <c r="F51" s="23">
        <v>0</v>
      </c>
      <c r="G51" s="23"/>
      <c r="H51" s="23"/>
      <c r="I51" s="23"/>
      <c r="J51" s="20"/>
      <c r="K51" s="23">
        <f t="shared" si="5"/>
        <v>0</v>
      </c>
      <c r="L51" s="23">
        <f t="shared" si="6"/>
        <v>0</v>
      </c>
      <c r="M51" s="120">
        <f t="shared" si="4"/>
        <v>0</v>
      </c>
      <c r="N51" s="122">
        <f t="shared" si="4"/>
        <v>0</v>
      </c>
      <c r="O51" s="26">
        <v>0</v>
      </c>
      <c r="P51" s="27">
        <v>0</v>
      </c>
      <c r="Q51" s="173"/>
      <c r="R51" s="173"/>
    </row>
    <row r="52" spans="1:18" ht="15.75" thickBot="1">
      <c r="A52" s="29" t="s">
        <v>164</v>
      </c>
      <c r="B52" s="340" t="s">
        <v>152</v>
      </c>
      <c r="C52" s="341"/>
      <c r="D52" s="342"/>
      <c r="E52" s="15"/>
      <c r="F52" s="15"/>
      <c r="G52" s="15"/>
      <c r="H52" s="15"/>
      <c r="I52" s="15"/>
      <c r="J52" s="33"/>
      <c r="K52" s="15">
        <f t="shared" si="5"/>
        <v>0</v>
      </c>
      <c r="L52" s="15">
        <f t="shared" si="6"/>
        <v>0</v>
      </c>
      <c r="M52" s="119">
        <f t="shared" si="4"/>
        <v>0</v>
      </c>
      <c r="N52" s="121">
        <f t="shared" si="4"/>
        <v>0</v>
      </c>
      <c r="O52" s="31">
        <v>0</v>
      </c>
      <c r="P52" s="123">
        <v>0</v>
      </c>
      <c r="Q52" s="173"/>
      <c r="R52" s="173"/>
    </row>
    <row r="53" spans="1:18" ht="15.75" thickBot="1">
      <c r="A53" s="29" t="s">
        <v>165</v>
      </c>
      <c r="B53" s="96" t="s">
        <v>154</v>
      </c>
      <c r="C53" s="97"/>
      <c r="D53" s="97"/>
      <c r="E53" s="15"/>
      <c r="F53" s="15"/>
      <c r="G53" s="15"/>
      <c r="H53" s="15"/>
      <c r="I53" s="15"/>
      <c r="J53" s="33"/>
      <c r="K53" s="15">
        <f t="shared" si="5"/>
        <v>0</v>
      </c>
      <c r="L53" s="15">
        <f t="shared" si="6"/>
        <v>0</v>
      </c>
      <c r="M53" s="119">
        <f t="shared" si="4"/>
        <v>0</v>
      </c>
      <c r="N53" s="121">
        <f t="shared" si="4"/>
        <v>0</v>
      </c>
      <c r="O53" s="31">
        <v>0</v>
      </c>
      <c r="P53" s="123">
        <v>0</v>
      </c>
      <c r="Q53" s="173"/>
      <c r="R53" s="173"/>
    </row>
    <row r="54" spans="1:18" ht="41.25" customHeight="1" thickBot="1">
      <c r="A54" s="22" t="s">
        <v>56</v>
      </c>
      <c r="B54" s="395" t="s">
        <v>57</v>
      </c>
      <c r="C54" s="396"/>
      <c r="D54" s="397"/>
      <c r="E54" s="81">
        <f>SUM(E59:E63)</f>
        <v>26100</v>
      </c>
      <c r="F54" s="114">
        <f>F55+F58</f>
        <v>1142400</v>
      </c>
      <c r="G54" s="23">
        <f>G55+G56+G57+G58</f>
        <v>19605.26</v>
      </c>
      <c r="H54" s="23"/>
      <c r="I54" s="23"/>
      <c r="J54" s="23">
        <f>J55+J56+J57+J58</f>
        <v>18613.11</v>
      </c>
      <c r="K54" s="23">
        <f>K55+K56+K57</f>
        <v>19605.26</v>
      </c>
      <c r="L54" s="23">
        <f>L55+L56+L57+L58</f>
        <v>1257046.9200000002</v>
      </c>
      <c r="M54" s="120">
        <f t="shared" si="4"/>
        <v>6494.740000000002</v>
      </c>
      <c r="N54" s="125">
        <f t="shared" si="4"/>
        <v>-114646.92000000016</v>
      </c>
      <c r="O54" s="26">
        <v>0</v>
      </c>
      <c r="P54" s="27">
        <v>0</v>
      </c>
      <c r="Q54" s="173"/>
      <c r="R54" s="18">
        <f>F59+F60+F62+F63-F58</f>
        <v>1086200</v>
      </c>
    </row>
    <row r="55" spans="1:18" ht="18" customHeight="1" thickBot="1">
      <c r="A55" s="29" t="s">
        <v>166</v>
      </c>
      <c r="B55" s="390" t="s">
        <v>152</v>
      </c>
      <c r="C55" s="391"/>
      <c r="D55" s="392"/>
      <c r="E55" s="113">
        <f>E59+E60+E62+E63-E58</f>
        <v>23500</v>
      </c>
      <c r="F55" s="108">
        <f>1062700+E55</f>
        <v>1086200</v>
      </c>
      <c r="G55" s="15">
        <f>G59+G60+G62+G63</f>
        <v>19605.26</v>
      </c>
      <c r="H55" s="15"/>
      <c r="I55" s="15"/>
      <c r="J55" s="15"/>
      <c r="K55" s="15">
        <f>0+G55</f>
        <v>19605.26</v>
      </c>
      <c r="L55" s="15">
        <f>1157018.1+K55</f>
        <v>1176623.36</v>
      </c>
      <c r="M55" s="119">
        <f t="shared" si="4"/>
        <v>3894.7400000000016</v>
      </c>
      <c r="N55" s="121">
        <f t="shared" si="4"/>
        <v>-90423.3600000001</v>
      </c>
      <c r="O55" s="31">
        <v>0</v>
      </c>
      <c r="P55" s="123">
        <v>0</v>
      </c>
      <c r="Q55" s="173"/>
      <c r="R55" s="18"/>
    </row>
    <row r="56" spans="1:18" ht="15.75" thickBot="1">
      <c r="A56" s="29" t="s">
        <v>167</v>
      </c>
      <c r="B56" s="430" t="s">
        <v>168</v>
      </c>
      <c r="C56" s="431"/>
      <c r="D56" s="432"/>
      <c r="E56" s="112"/>
      <c r="F56" s="108"/>
      <c r="G56" s="15"/>
      <c r="H56" s="15"/>
      <c r="I56" s="15"/>
      <c r="J56" s="15"/>
      <c r="K56" s="15">
        <f aca="true" t="shared" si="7" ref="K56:K61">0+G56</f>
        <v>0</v>
      </c>
      <c r="L56" s="15">
        <f t="shared" si="6"/>
        <v>0</v>
      </c>
      <c r="M56" s="119">
        <f aca="true" t="shared" si="8" ref="M56:N71">E56-K56</f>
        <v>0</v>
      </c>
      <c r="N56" s="121">
        <f t="shared" si="8"/>
        <v>0</v>
      </c>
      <c r="O56" s="31">
        <v>0</v>
      </c>
      <c r="P56" s="123">
        <v>0</v>
      </c>
      <c r="Q56" s="173"/>
      <c r="R56" s="18"/>
    </row>
    <row r="57" spans="1:18" ht="15.75" thickBot="1">
      <c r="A57" s="29" t="s">
        <v>203</v>
      </c>
      <c r="B57" s="503" t="s">
        <v>154</v>
      </c>
      <c r="C57" s="504"/>
      <c r="D57" s="504"/>
      <c r="E57" s="127"/>
      <c r="F57" s="108"/>
      <c r="G57" s="15"/>
      <c r="H57" s="15"/>
      <c r="I57" s="15"/>
      <c r="J57" s="15"/>
      <c r="K57" s="15">
        <f t="shared" si="7"/>
        <v>0</v>
      </c>
      <c r="L57" s="15">
        <f t="shared" si="6"/>
        <v>0</v>
      </c>
      <c r="M57" s="119">
        <f t="shared" si="8"/>
        <v>0</v>
      </c>
      <c r="N57" s="121">
        <f t="shared" si="8"/>
        <v>0</v>
      </c>
      <c r="O57" s="31">
        <v>0</v>
      </c>
      <c r="P57" s="123">
        <v>0</v>
      </c>
      <c r="Q57" s="173"/>
      <c r="R57" s="18">
        <f>L59+L60+L61+L62+L63</f>
        <v>1257046.92</v>
      </c>
    </row>
    <row r="58" spans="1:18" ht="15.75" thickBot="1">
      <c r="A58" s="29" t="s">
        <v>204</v>
      </c>
      <c r="B58" s="497" t="s">
        <v>201</v>
      </c>
      <c r="C58" s="498"/>
      <c r="D58" s="499"/>
      <c r="E58" s="112">
        <v>2600</v>
      </c>
      <c r="F58" s="108">
        <f>53600+E58</f>
        <v>56200</v>
      </c>
      <c r="G58" s="15"/>
      <c r="H58" s="15"/>
      <c r="I58" s="15"/>
      <c r="J58" s="15">
        <f>J62+J63+J59</f>
        <v>18613.11</v>
      </c>
      <c r="K58" s="15">
        <f>0+J58</f>
        <v>18613.11</v>
      </c>
      <c r="L58" s="15">
        <f>61810.45+K58</f>
        <v>80423.56</v>
      </c>
      <c r="M58" s="119">
        <f t="shared" si="8"/>
        <v>-16013.11</v>
      </c>
      <c r="N58" s="121">
        <f t="shared" si="8"/>
        <v>-24223.559999999998</v>
      </c>
      <c r="O58" s="31">
        <v>0</v>
      </c>
      <c r="P58" s="123">
        <v>0</v>
      </c>
      <c r="Q58" s="173"/>
      <c r="R58" s="18">
        <f>F59+F60+F62+F63</f>
        <v>1142400</v>
      </c>
    </row>
    <row r="59" spans="1:18" ht="27" customHeight="1" thickBot="1">
      <c r="A59" s="29" t="s">
        <v>58</v>
      </c>
      <c r="B59" s="419" t="s">
        <v>236</v>
      </c>
      <c r="C59" s="420"/>
      <c r="D59" s="421"/>
      <c r="E59" s="108">
        <v>20000</v>
      </c>
      <c r="F59" s="108">
        <f>305000+E59</f>
        <v>325000</v>
      </c>
      <c r="G59" s="13">
        <v>19605.26</v>
      </c>
      <c r="H59" s="13"/>
      <c r="I59" s="13"/>
      <c r="J59" s="15">
        <v>18613.11</v>
      </c>
      <c r="K59" s="15">
        <f>J59+G59</f>
        <v>38218.369999999995</v>
      </c>
      <c r="L59" s="15">
        <f>262208.86+K59</f>
        <v>300427.23</v>
      </c>
      <c r="M59" s="119">
        <f t="shared" si="8"/>
        <v>-18218.369999999995</v>
      </c>
      <c r="N59" s="121">
        <f t="shared" si="8"/>
        <v>24572.77000000002</v>
      </c>
      <c r="O59" s="31">
        <v>0</v>
      </c>
      <c r="P59" s="123">
        <v>0</v>
      </c>
      <c r="Q59" s="173"/>
      <c r="R59" s="196"/>
    </row>
    <row r="60" spans="1:18" ht="15.75" thickBot="1">
      <c r="A60" s="29" t="s">
        <v>60</v>
      </c>
      <c r="B60" s="387" t="s">
        <v>61</v>
      </c>
      <c r="C60" s="388"/>
      <c r="D60" s="388"/>
      <c r="E60" s="108"/>
      <c r="F60" s="108">
        <f>752000+E60</f>
        <v>752000</v>
      </c>
      <c r="G60" s="13"/>
      <c r="H60" s="13"/>
      <c r="I60" s="13"/>
      <c r="J60" s="15"/>
      <c r="K60" s="15">
        <f t="shared" si="7"/>
        <v>0</v>
      </c>
      <c r="L60" s="15">
        <f>904749.95+K60</f>
        <v>904749.95</v>
      </c>
      <c r="M60" s="119">
        <f t="shared" si="8"/>
        <v>0</v>
      </c>
      <c r="N60" s="121">
        <f t="shared" si="8"/>
        <v>-152749.94999999995</v>
      </c>
      <c r="O60" s="31">
        <v>0</v>
      </c>
      <c r="P60" s="123">
        <v>0</v>
      </c>
      <c r="Q60" s="173"/>
      <c r="R60" s="18"/>
    </row>
    <row r="61" spans="1:18" ht="15.75" thickBot="1">
      <c r="A61" s="29" t="s">
        <v>60</v>
      </c>
      <c r="B61" s="422" t="s">
        <v>205</v>
      </c>
      <c r="C61" s="423"/>
      <c r="D61" s="424"/>
      <c r="E61" s="108"/>
      <c r="F61" s="108"/>
      <c r="G61" s="13"/>
      <c r="H61" s="13"/>
      <c r="I61" s="13"/>
      <c r="J61" s="15"/>
      <c r="K61" s="15">
        <f t="shared" si="7"/>
        <v>0</v>
      </c>
      <c r="L61" s="15">
        <f t="shared" si="6"/>
        <v>0</v>
      </c>
      <c r="M61" s="119">
        <f t="shared" si="8"/>
        <v>0</v>
      </c>
      <c r="N61" s="121">
        <f t="shared" si="8"/>
        <v>0</v>
      </c>
      <c r="O61" s="31">
        <v>0</v>
      </c>
      <c r="P61" s="123">
        <v>0</v>
      </c>
      <c r="Q61" s="173"/>
      <c r="R61" s="173"/>
    </row>
    <row r="62" spans="1:18" ht="15.75" thickBot="1">
      <c r="A62" s="29" t="s">
        <v>62</v>
      </c>
      <c r="B62" s="387" t="s">
        <v>63</v>
      </c>
      <c r="C62" s="388"/>
      <c r="D62" s="389"/>
      <c r="E62" s="108">
        <v>3200</v>
      </c>
      <c r="F62" s="108">
        <f>31400+E62</f>
        <v>34600</v>
      </c>
      <c r="G62" s="215"/>
      <c r="H62" s="60"/>
      <c r="I62" s="13"/>
      <c r="J62" s="13"/>
      <c r="K62" s="15">
        <f>0+J62+G62</f>
        <v>0</v>
      </c>
      <c r="L62" s="15">
        <f>28782.29+K62</f>
        <v>28782.29</v>
      </c>
      <c r="M62" s="119">
        <f t="shared" si="8"/>
        <v>3200</v>
      </c>
      <c r="N62" s="121">
        <f t="shared" si="8"/>
        <v>5817.709999999999</v>
      </c>
      <c r="O62" s="31">
        <v>0</v>
      </c>
      <c r="P62" s="123">
        <v>0</v>
      </c>
      <c r="Q62" s="173"/>
      <c r="R62" s="173"/>
    </row>
    <row r="63" spans="1:18" ht="15.75" thickBot="1">
      <c r="A63" s="29" t="s">
        <v>64</v>
      </c>
      <c r="B63" s="387" t="s">
        <v>65</v>
      </c>
      <c r="C63" s="388"/>
      <c r="D63" s="389"/>
      <c r="E63" s="108">
        <v>2900</v>
      </c>
      <c r="F63" s="108">
        <f>27900+E63</f>
        <v>30800</v>
      </c>
      <c r="G63" s="216"/>
      <c r="H63" s="13"/>
      <c r="I63" s="13"/>
      <c r="J63" s="13"/>
      <c r="K63" s="15">
        <f>0+J63+G63</f>
        <v>0</v>
      </c>
      <c r="L63" s="15">
        <f>23087.45+K63</f>
        <v>23087.45</v>
      </c>
      <c r="M63" s="119">
        <f t="shared" si="8"/>
        <v>2900</v>
      </c>
      <c r="N63" s="121">
        <f t="shared" si="8"/>
        <v>7712.549999999999</v>
      </c>
      <c r="O63" s="31">
        <v>0</v>
      </c>
      <c r="P63" s="123">
        <v>0</v>
      </c>
      <c r="Q63" s="173"/>
      <c r="R63" s="173"/>
    </row>
    <row r="64" spans="1:18" ht="27.75" customHeight="1" thickBot="1">
      <c r="A64" s="56" t="s">
        <v>66</v>
      </c>
      <c r="B64" s="585" t="s">
        <v>228</v>
      </c>
      <c r="C64" s="586"/>
      <c r="D64" s="587"/>
      <c r="E64" s="81">
        <f>E65</f>
        <v>32000</v>
      </c>
      <c r="F64" s="114">
        <f>F65+F66</f>
        <v>339000</v>
      </c>
      <c r="G64" s="32">
        <f>G65+G66</f>
        <v>0</v>
      </c>
      <c r="H64" s="23"/>
      <c r="I64" s="23">
        <f>I66</f>
        <v>0</v>
      </c>
      <c r="J64" s="23">
        <f>J65+J66</f>
        <v>0</v>
      </c>
      <c r="K64" s="23">
        <f>K65+K66</f>
        <v>0</v>
      </c>
      <c r="L64" s="23">
        <f>L65+L66</f>
        <v>292888</v>
      </c>
      <c r="M64" s="120">
        <f t="shared" si="8"/>
        <v>32000</v>
      </c>
      <c r="N64" s="125">
        <f t="shared" si="8"/>
        <v>46112</v>
      </c>
      <c r="O64" s="26">
        <v>0</v>
      </c>
      <c r="P64" s="27">
        <v>0</v>
      </c>
      <c r="Q64" s="173"/>
      <c r="R64" s="173"/>
    </row>
    <row r="65" spans="1:18" ht="15.75" thickBot="1">
      <c r="A65" s="29" t="s">
        <v>207</v>
      </c>
      <c r="B65" s="340" t="s">
        <v>152</v>
      </c>
      <c r="C65" s="341"/>
      <c r="D65" s="342"/>
      <c r="E65" s="82">
        <v>32000</v>
      </c>
      <c r="F65" s="108">
        <f>307000+E65</f>
        <v>339000</v>
      </c>
      <c r="G65" s="13"/>
      <c r="H65" s="15"/>
      <c r="I65" s="15"/>
      <c r="J65" s="15"/>
      <c r="K65" s="15">
        <f>0+G65</f>
        <v>0</v>
      </c>
      <c r="L65" s="15">
        <f>276088+K65</f>
        <v>276088</v>
      </c>
      <c r="M65" s="119">
        <f t="shared" si="8"/>
        <v>32000</v>
      </c>
      <c r="N65" s="124">
        <f t="shared" si="8"/>
        <v>62912</v>
      </c>
      <c r="O65" s="31">
        <v>0</v>
      </c>
      <c r="P65" s="123">
        <v>0</v>
      </c>
      <c r="Q65" s="173"/>
      <c r="R65" s="173"/>
    </row>
    <row r="66" spans="1:18" ht="15.75" thickBot="1">
      <c r="A66" s="29" t="s">
        <v>208</v>
      </c>
      <c r="B66" s="340" t="s">
        <v>171</v>
      </c>
      <c r="C66" s="341"/>
      <c r="D66" s="342"/>
      <c r="E66" s="82"/>
      <c r="F66" s="108"/>
      <c r="G66" s="13"/>
      <c r="H66" s="15"/>
      <c r="I66" s="15"/>
      <c r="J66" s="15"/>
      <c r="K66" s="15">
        <f>0+I66</f>
        <v>0</v>
      </c>
      <c r="L66" s="15">
        <f>16800+K66</f>
        <v>16800</v>
      </c>
      <c r="M66" s="119">
        <f t="shared" si="8"/>
        <v>0</v>
      </c>
      <c r="N66" s="124">
        <f t="shared" si="8"/>
        <v>-16800</v>
      </c>
      <c r="O66" s="31">
        <v>0</v>
      </c>
      <c r="P66" s="123">
        <v>0</v>
      </c>
      <c r="Q66" s="173"/>
      <c r="R66" s="173"/>
    </row>
    <row r="67" spans="1:18" ht="29.25" customHeight="1" thickBot="1">
      <c r="A67" s="128" t="s">
        <v>67</v>
      </c>
      <c r="B67" s="588" t="s">
        <v>226</v>
      </c>
      <c r="C67" s="589"/>
      <c r="D67" s="590"/>
      <c r="E67" s="81">
        <f>E68</f>
        <v>60000</v>
      </c>
      <c r="F67" s="114">
        <f>65000+E67</f>
        <v>125000</v>
      </c>
      <c r="G67" s="32">
        <f>G68+G69</f>
        <v>0</v>
      </c>
      <c r="H67" s="23"/>
      <c r="I67" s="23"/>
      <c r="J67" s="23"/>
      <c r="K67" s="23">
        <f>K68+K69+K70</f>
        <v>0</v>
      </c>
      <c r="L67" s="23">
        <f>26070+K67</f>
        <v>26070</v>
      </c>
      <c r="M67" s="120">
        <f t="shared" si="8"/>
        <v>60000</v>
      </c>
      <c r="N67" s="125">
        <f t="shared" si="8"/>
        <v>98930</v>
      </c>
      <c r="O67" s="26">
        <v>0</v>
      </c>
      <c r="P67" s="27">
        <v>0</v>
      </c>
      <c r="Q67" s="173"/>
      <c r="R67" s="18"/>
    </row>
    <row r="68" spans="1:18" ht="15.75" thickBot="1">
      <c r="A68" s="29" t="s">
        <v>169</v>
      </c>
      <c r="B68" s="340" t="s">
        <v>152</v>
      </c>
      <c r="C68" s="341"/>
      <c r="D68" s="342"/>
      <c r="E68" s="112">
        <v>60000</v>
      </c>
      <c r="F68" s="108">
        <f>65000+E68</f>
        <v>125000</v>
      </c>
      <c r="G68" s="13"/>
      <c r="H68" s="15"/>
      <c r="I68" s="15"/>
      <c r="J68" s="15"/>
      <c r="K68" s="15">
        <f>G68</f>
        <v>0</v>
      </c>
      <c r="L68" s="15">
        <f>26070+K68</f>
        <v>26070</v>
      </c>
      <c r="M68" s="119">
        <f t="shared" si="8"/>
        <v>60000</v>
      </c>
      <c r="N68" s="124">
        <f t="shared" si="8"/>
        <v>98930</v>
      </c>
      <c r="O68" s="31">
        <v>0</v>
      </c>
      <c r="P68" s="123">
        <v>0</v>
      </c>
      <c r="Q68" s="173"/>
      <c r="R68" s="18"/>
    </row>
    <row r="69" spans="1:18" ht="15.75" thickBot="1">
      <c r="A69" s="29" t="s">
        <v>170</v>
      </c>
      <c r="B69" s="340" t="s">
        <v>171</v>
      </c>
      <c r="C69" s="341"/>
      <c r="D69" s="342"/>
      <c r="E69" s="112"/>
      <c r="F69" s="108"/>
      <c r="G69" s="13"/>
      <c r="H69" s="15"/>
      <c r="I69" s="15"/>
      <c r="J69" s="15"/>
      <c r="K69" s="15">
        <f>G69</f>
        <v>0</v>
      </c>
      <c r="L69" s="15">
        <f>0+K69</f>
        <v>0</v>
      </c>
      <c r="M69" s="119">
        <f t="shared" si="8"/>
        <v>0</v>
      </c>
      <c r="N69" s="124">
        <f t="shared" si="8"/>
        <v>0</v>
      </c>
      <c r="O69" s="31">
        <v>0</v>
      </c>
      <c r="P69" s="123">
        <v>0</v>
      </c>
      <c r="Q69" s="173"/>
      <c r="R69" s="18"/>
    </row>
    <row r="70" spans="1:18" ht="15.75" thickBot="1">
      <c r="A70" s="29" t="s">
        <v>172</v>
      </c>
      <c r="B70" s="340" t="s">
        <v>154</v>
      </c>
      <c r="C70" s="341"/>
      <c r="D70" s="342"/>
      <c r="E70" s="113"/>
      <c r="F70" s="108"/>
      <c r="G70" s="13"/>
      <c r="H70" s="15"/>
      <c r="I70" s="15"/>
      <c r="J70" s="15"/>
      <c r="K70" s="15">
        <f>0+J70</f>
        <v>0</v>
      </c>
      <c r="L70" s="15">
        <f>0+K70</f>
        <v>0</v>
      </c>
      <c r="M70" s="119">
        <f t="shared" si="8"/>
        <v>0</v>
      </c>
      <c r="N70" s="124">
        <f t="shared" si="8"/>
        <v>0</v>
      </c>
      <c r="O70" s="31">
        <v>0</v>
      </c>
      <c r="P70" s="123">
        <v>0</v>
      </c>
      <c r="Q70" s="173"/>
      <c r="R70" s="18"/>
    </row>
    <row r="71" spans="1:18" ht="18.75" customHeight="1" thickBot="1">
      <c r="A71" s="231" t="s">
        <v>69</v>
      </c>
      <c r="B71" s="508" t="s">
        <v>227</v>
      </c>
      <c r="C71" s="509"/>
      <c r="D71" s="510"/>
      <c r="E71" s="81">
        <v>0</v>
      </c>
      <c r="F71" s="114">
        <f>18000+E71</f>
        <v>18000</v>
      </c>
      <c r="G71" s="32">
        <f>G72+G73</f>
        <v>0</v>
      </c>
      <c r="H71" s="23"/>
      <c r="I71" s="23"/>
      <c r="J71" s="23"/>
      <c r="K71" s="23">
        <f>G71</f>
        <v>0</v>
      </c>
      <c r="L71" s="23">
        <f>L72</f>
        <v>21564.52</v>
      </c>
      <c r="M71" s="120">
        <f t="shared" si="8"/>
        <v>0</v>
      </c>
      <c r="N71" s="125">
        <f t="shared" si="8"/>
        <v>-3564.5200000000004</v>
      </c>
      <c r="O71" s="26">
        <v>0</v>
      </c>
      <c r="P71" s="27">
        <v>0</v>
      </c>
      <c r="Q71" s="173"/>
      <c r="R71" s="173"/>
    </row>
    <row r="72" spans="1:18" ht="15.75" thickBot="1">
      <c r="A72" s="29" t="s">
        <v>169</v>
      </c>
      <c r="B72" s="340" t="s">
        <v>152</v>
      </c>
      <c r="C72" s="341"/>
      <c r="D72" s="342"/>
      <c r="E72" s="112">
        <v>0</v>
      </c>
      <c r="F72" s="108">
        <f>18000+E72</f>
        <v>18000</v>
      </c>
      <c r="G72" s="13"/>
      <c r="H72" s="15"/>
      <c r="I72" s="15"/>
      <c r="J72" s="15"/>
      <c r="K72" s="15">
        <f>G72</f>
        <v>0</v>
      </c>
      <c r="L72" s="15">
        <f>21564.52+K72</f>
        <v>21564.52</v>
      </c>
      <c r="M72" s="119">
        <f aca="true" t="shared" si="9" ref="M72:N82">E72-K72</f>
        <v>0</v>
      </c>
      <c r="N72" s="124">
        <f t="shared" si="9"/>
        <v>-3564.5200000000004</v>
      </c>
      <c r="O72" s="31">
        <v>0</v>
      </c>
      <c r="P72" s="123">
        <v>0</v>
      </c>
      <c r="Q72" s="173"/>
      <c r="R72" s="173"/>
    </row>
    <row r="73" spans="1:18" ht="15.75" thickBot="1">
      <c r="A73" s="29" t="s">
        <v>172</v>
      </c>
      <c r="B73" s="340" t="s">
        <v>154</v>
      </c>
      <c r="C73" s="341"/>
      <c r="D73" s="342"/>
      <c r="E73" s="113"/>
      <c r="F73" s="108"/>
      <c r="G73" s="13"/>
      <c r="H73" s="15"/>
      <c r="I73" s="15"/>
      <c r="J73" s="15"/>
      <c r="K73" s="15">
        <f>0+J73</f>
        <v>0</v>
      </c>
      <c r="L73" s="15">
        <f>0+K73</f>
        <v>0</v>
      </c>
      <c r="M73" s="119">
        <f t="shared" si="9"/>
        <v>0</v>
      </c>
      <c r="N73" s="124">
        <f t="shared" si="9"/>
        <v>0</v>
      </c>
      <c r="O73" s="31">
        <v>0</v>
      </c>
      <c r="P73" s="123">
        <v>0</v>
      </c>
      <c r="Q73" s="173"/>
      <c r="R73" s="173"/>
    </row>
    <row r="74" spans="1:18" ht="36" customHeight="1" thickBot="1">
      <c r="A74" s="30" t="s">
        <v>71</v>
      </c>
      <c r="B74" s="508" t="s">
        <v>72</v>
      </c>
      <c r="C74" s="509"/>
      <c r="D74" s="510"/>
      <c r="E74" s="81">
        <f>E75</f>
        <v>0</v>
      </c>
      <c r="F74" s="114">
        <f>180000+E74</f>
        <v>180000</v>
      </c>
      <c r="G74" s="32">
        <f>G75+G76+G77</f>
        <v>415</v>
      </c>
      <c r="H74" s="23"/>
      <c r="I74" s="23">
        <f>I75+I76</f>
        <v>0</v>
      </c>
      <c r="J74" s="23"/>
      <c r="K74" s="23">
        <f>K75+K76+K77</f>
        <v>415</v>
      </c>
      <c r="L74" s="23">
        <f>L75+L76+L77</f>
        <v>215349.5</v>
      </c>
      <c r="M74" s="120">
        <f t="shared" si="9"/>
        <v>-415</v>
      </c>
      <c r="N74" s="125">
        <f t="shared" si="9"/>
        <v>-35349.5</v>
      </c>
      <c r="O74" s="26">
        <v>0</v>
      </c>
      <c r="P74" s="27">
        <v>0</v>
      </c>
      <c r="Q74" s="173"/>
      <c r="R74" s="173"/>
    </row>
    <row r="75" spans="1:18" ht="15.75" thickBot="1">
      <c r="A75" s="29" t="s">
        <v>173</v>
      </c>
      <c r="B75" s="340" t="s">
        <v>152</v>
      </c>
      <c r="C75" s="341"/>
      <c r="D75" s="342"/>
      <c r="E75" s="112">
        <v>0</v>
      </c>
      <c r="F75" s="108">
        <f>180000+E75</f>
        <v>180000</v>
      </c>
      <c r="G75" s="13">
        <v>415</v>
      </c>
      <c r="H75" s="15"/>
      <c r="I75" s="15"/>
      <c r="J75" s="15"/>
      <c r="K75" s="15">
        <f>G75</f>
        <v>415</v>
      </c>
      <c r="L75" s="15">
        <f>214934.5+K75</f>
        <v>215349.5</v>
      </c>
      <c r="M75" s="119">
        <f t="shared" si="9"/>
        <v>-415</v>
      </c>
      <c r="N75" s="124">
        <f t="shared" si="9"/>
        <v>-35349.5</v>
      </c>
      <c r="O75" s="31">
        <v>0</v>
      </c>
      <c r="P75" s="123">
        <v>0</v>
      </c>
      <c r="Q75" s="173"/>
      <c r="R75" s="173"/>
    </row>
    <row r="76" spans="1:18" ht="15.75" thickBot="1">
      <c r="A76" s="29" t="s">
        <v>174</v>
      </c>
      <c r="B76" s="340" t="s">
        <v>171</v>
      </c>
      <c r="C76" s="341"/>
      <c r="D76" s="342"/>
      <c r="E76" s="113"/>
      <c r="F76" s="108"/>
      <c r="G76" s="13"/>
      <c r="H76" s="15"/>
      <c r="I76" s="15"/>
      <c r="J76" s="15"/>
      <c r="K76" s="15">
        <f>I76</f>
        <v>0</v>
      </c>
      <c r="L76" s="15">
        <f aca="true" t="shared" si="10" ref="K76:L82">0+K76</f>
        <v>0</v>
      </c>
      <c r="M76" s="119">
        <f t="shared" si="9"/>
        <v>0</v>
      </c>
      <c r="N76" s="124">
        <f t="shared" si="9"/>
        <v>0</v>
      </c>
      <c r="O76" s="31">
        <v>0</v>
      </c>
      <c r="P76" s="123">
        <v>0</v>
      </c>
      <c r="Q76" s="173"/>
      <c r="R76" s="173"/>
    </row>
    <row r="77" spans="1:18" ht="15.75" thickBot="1">
      <c r="A77" s="29" t="s">
        <v>175</v>
      </c>
      <c r="B77" s="96" t="s">
        <v>154</v>
      </c>
      <c r="C77" s="97"/>
      <c r="D77" s="98"/>
      <c r="E77" s="112"/>
      <c r="F77" s="108"/>
      <c r="G77" s="13"/>
      <c r="H77" s="15"/>
      <c r="I77" s="15"/>
      <c r="J77" s="15"/>
      <c r="K77" s="15">
        <f t="shared" si="10"/>
        <v>0</v>
      </c>
      <c r="L77" s="15">
        <f t="shared" si="10"/>
        <v>0</v>
      </c>
      <c r="M77" s="119">
        <f t="shared" si="9"/>
        <v>0</v>
      </c>
      <c r="N77" s="124">
        <f t="shared" si="9"/>
        <v>0</v>
      </c>
      <c r="O77" s="31">
        <v>0</v>
      </c>
      <c r="P77" s="123">
        <v>0</v>
      </c>
      <c r="Q77" s="173"/>
      <c r="R77" s="173"/>
    </row>
    <row r="78" spans="1:18" ht="42.75" customHeight="1" thickBot="1">
      <c r="A78" s="128" t="s">
        <v>73</v>
      </c>
      <c r="B78" s="395" t="s">
        <v>74</v>
      </c>
      <c r="C78" s="396"/>
      <c r="D78" s="397"/>
      <c r="E78" s="81">
        <f>E79</f>
        <v>0</v>
      </c>
      <c r="F78" s="114">
        <f>F79</f>
        <v>1500</v>
      </c>
      <c r="G78" s="32"/>
      <c r="H78" s="23"/>
      <c r="I78" s="23"/>
      <c r="J78" s="23"/>
      <c r="K78" s="23">
        <f t="shared" si="10"/>
        <v>0</v>
      </c>
      <c r="L78" s="23">
        <f t="shared" si="10"/>
        <v>0</v>
      </c>
      <c r="M78" s="120">
        <f t="shared" si="9"/>
        <v>0</v>
      </c>
      <c r="N78" s="125">
        <f t="shared" si="9"/>
        <v>1500</v>
      </c>
      <c r="O78" s="26">
        <v>0</v>
      </c>
      <c r="P78" s="27">
        <v>0</v>
      </c>
      <c r="Q78" s="173"/>
      <c r="R78" s="173"/>
    </row>
    <row r="79" spans="1:18" ht="15.75" thickBot="1">
      <c r="A79" s="29" t="s">
        <v>176</v>
      </c>
      <c r="B79" s="340" t="s">
        <v>152</v>
      </c>
      <c r="C79" s="341"/>
      <c r="D79" s="342"/>
      <c r="E79" s="113">
        <v>0</v>
      </c>
      <c r="F79" s="108">
        <f>1500+E79</f>
        <v>1500</v>
      </c>
      <c r="G79" s="13"/>
      <c r="H79" s="15"/>
      <c r="I79" s="15"/>
      <c r="J79" s="15"/>
      <c r="K79" s="15">
        <f t="shared" si="10"/>
        <v>0</v>
      </c>
      <c r="L79" s="15">
        <f t="shared" si="10"/>
        <v>0</v>
      </c>
      <c r="M79" s="119">
        <f t="shared" si="9"/>
        <v>0</v>
      </c>
      <c r="N79" s="124">
        <f t="shared" si="9"/>
        <v>1500</v>
      </c>
      <c r="O79" s="31">
        <v>0</v>
      </c>
      <c r="P79" s="123">
        <v>0</v>
      </c>
      <c r="Q79" s="173"/>
      <c r="R79" s="173"/>
    </row>
    <row r="80" spans="1:18" ht="15.75" thickBot="1">
      <c r="A80" s="128" t="s">
        <v>75</v>
      </c>
      <c r="B80" s="395" t="s">
        <v>76</v>
      </c>
      <c r="C80" s="396"/>
      <c r="D80" s="397"/>
      <c r="E80" s="81">
        <f>E81</f>
        <v>0</v>
      </c>
      <c r="F80" s="114">
        <f>F81</f>
        <v>18500</v>
      </c>
      <c r="G80" s="32"/>
      <c r="H80" s="23"/>
      <c r="I80" s="23"/>
      <c r="J80" s="23"/>
      <c r="K80" s="23">
        <f t="shared" si="10"/>
        <v>0</v>
      </c>
      <c r="L80" s="23">
        <f>0+K80</f>
        <v>0</v>
      </c>
      <c r="M80" s="120">
        <f t="shared" si="9"/>
        <v>0</v>
      </c>
      <c r="N80" s="125">
        <f t="shared" si="9"/>
        <v>18500</v>
      </c>
      <c r="O80" s="26">
        <v>0</v>
      </c>
      <c r="P80" s="27">
        <v>0</v>
      </c>
      <c r="Q80" s="173"/>
      <c r="R80" s="173"/>
    </row>
    <row r="81" spans="1:18" ht="15.75" thickBot="1">
      <c r="A81" s="29" t="s">
        <v>177</v>
      </c>
      <c r="B81" s="340" t="s">
        <v>152</v>
      </c>
      <c r="C81" s="341"/>
      <c r="D81" s="342"/>
      <c r="E81" s="113">
        <v>0</v>
      </c>
      <c r="F81" s="108">
        <f>18500+E81</f>
        <v>18500</v>
      </c>
      <c r="G81" s="198"/>
      <c r="H81" s="199"/>
      <c r="I81" s="93"/>
      <c r="J81" s="199"/>
      <c r="K81" s="15">
        <f t="shared" si="10"/>
        <v>0</v>
      </c>
      <c r="L81" s="15">
        <f>0+K81</f>
        <v>0</v>
      </c>
      <c r="M81" s="119">
        <f t="shared" si="9"/>
        <v>0</v>
      </c>
      <c r="N81" s="124">
        <f t="shared" si="9"/>
        <v>18500</v>
      </c>
      <c r="O81" s="31">
        <v>0</v>
      </c>
      <c r="P81" s="123">
        <v>0</v>
      </c>
      <c r="Q81" s="173"/>
      <c r="R81" s="173"/>
    </row>
    <row r="82" spans="1:18" ht="15.75" thickBot="1">
      <c r="A82" s="29" t="s">
        <v>178</v>
      </c>
      <c r="B82" s="96" t="s">
        <v>154</v>
      </c>
      <c r="C82" s="97"/>
      <c r="D82" s="98"/>
      <c r="E82" s="113"/>
      <c r="F82" s="15"/>
      <c r="G82" s="13"/>
      <c r="H82" s="200"/>
      <c r="I82" s="15"/>
      <c r="J82" s="200"/>
      <c r="K82" s="15">
        <f t="shared" si="10"/>
        <v>0</v>
      </c>
      <c r="L82" s="15">
        <f t="shared" si="10"/>
        <v>0</v>
      </c>
      <c r="M82" s="119">
        <f t="shared" si="9"/>
        <v>0</v>
      </c>
      <c r="N82" s="124">
        <f t="shared" si="9"/>
        <v>0</v>
      </c>
      <c r="O82" s="31">
        <v>0</v>
      </c>
      <c r="P82" s="123">
        <v>0</v>
      </c>
      <c r="Q82" s="173"/>
      <c r="R82" s="173"/>
    </row>
    <row r="83" spans="1:18" ht="15">
      <c r="A83" s="398"/>
      <c r="B83" s="591" t="s">
        <v>30</v>
      </c>
      <c r="C83" s="592"/>
      <c r="D83" s="592"/>
      <c r="E83" s="592"/>
      <c r="F83" s="592"/>
      <c r="G83" s="592"/>
      <c r="H83" s="592"/>
      <c r="I83" s="592"/>
      <c r="J83" s="592"/>
      <c r="K83" s="592"/>
      <c r="L83" s="592"/>
      <c r="M83" s="592"/>
      <c r="N83" s="592"/>
      <c r="O83" s="592"/>
      <c r="P83" s="593"/>
      <c r="Q83" s="173"/>
      <c r="R83" s="173"/>
    </row>
    <row r="84" spans="1:18" ht="0.75" customHeight="1" thickBot="1">
      <c r="A84" s="399"/>
      <c r="B84" s="594"/>
      <c r="C84" s="595"/>
      <c r="D84" s="595"/>
      <c r="E84" s="595"/>
      <c r="F84" s="595"/>
      <c r="G84" s="595"/>
      <c r="H84" s="595"/>
      <c r="I84" s="595"/>
      <c r="J84" s="595"/>
      <c r="K84" s="595"/>
      <c r="L84" s="595"/>
      <c r="M84" s="595"/>
      <c r="N84" s="595"/>
      <c r="O84" s="595"/>
      <c r="P84" s="596"/>
      <c r="Q84" s="173"/>
      <c r="R84" s="173"/>
    </row>
    <row r="85" spans="1:18" ht="15.75" thickBot="1">
      <c r="A85" s="398"/>
      <c r="B85" s="550" t="s">
        <v>14</v>
      </c>
      <c r="C85" s="551"/>
      <c r="D85" s="552"/>
      <c r="E85" s="581" t="s">
        <v>24</v>
      </c>
      <c r="F85" s="583" t="s">
        <v>25</v>
      </c>
      <c r="G85" s="532" t="s">
        <v>31</v>
      </c>
      <c r="H85" s="522"/>
      <c r="I85" s="522"/>
      <c r="J85" s="522"/>
      <c r="K85" s="533"/>
      <c r="L85" s="534" t="s">
        <v>16</v>
      </c>
      <c r="M85" s="534" t="s">
        <v>17</v>
      </c>
      <c r="N85" s="534" t="s">
        <v>18</v>
      </c>
      <c r="O85" s="534" t="s">
        <v>19</v>
      </c>
      <c r="P85" s="534" t="s">
        <v>20</v>
      </c>
      <c r="Q85" s="173"/>
      <c r="R85" s="173"/>
    </row>
    <row r="86" spans="1:18" ht="69.75" customHeight="1" thickBot="1">
      <c r="A86" s="399"/>
      <c r="B86" s="553"/>
      <c r="C86" s="554"/>
      <c r="D86" s="555"/>
      <c r="E86" s="582"/>
      <c r="F86" s="584"/>
      <c r="G86" s="264" t="s">
        <v>32</v>
      </c>
      <c r="H86" s="264" t="s">
        <v>33</v>
      </c>
      <c r="I86" s="264" t="s">
        <v>34</v>
      </c>
      <c r="J86" s="175" t="s">
        <v>77</v>
      </c>
      <c r="K86" s="176" t="s">
        <v>27</v>
      </c>
      <c r="L86" s="535"/>
      <c r="M86" s="535"/>
      <c r="N86" s="535"/>
      <c r="O86" s="535"/>
      <c r="P86" s="535"/>
      <c r="Q86" s="173"/>
      <c r="R86" s="173"/>
    </row>
    <row r="87" spans="1:18" ht="15.75" thickBot="1">
      <c r="A87" s="29"/>
      <c r="B87" s="536">
        <v>1</v>
      </c>
      <c r="C87" s="537"/>
      <c r="D87" s="538"/>
      <c r="E87" s="180" t="s">
        <v>22</v>
      </c>
      <c r="F87" s="264">
        <v>3</v>
      </c>
      <c r="G87" s="264">
        <v>4</v>
      </c>
      <c r="H87" s="264">
        <v>5</v>
      </c>
      <c r="I87" s="175">
        <v>6</v>
      </c>
      <c r="J87" s="175">
        <v>7</v>
      </c>
      <c r="K87" s="192">
        <v>8</v>
      </c>
      <c r="L87" s="262">
        <v>9</v>
      </c>
      <c r="M87" s="175">
        <v>10</v>
      </c>
      <c r="N87" s="262">
        <v>11</v>
      </c>
      <c r="O87" s="175">
        <v>12</v>
      </c>
      <c r="P87" s="262">
        <v>13</v>
      </c>
      <c r="Q87" s="173"/>
      <c r="R87" s="173"/>
    </row>
    <row r="88" spans="1:18" ht="29.25" customHeight="1" thickBot="1">
      <c r="A88" s="22" t="s">
        <v>78</v>
      </c>
      <c r="B88" s="395" t="s">
        <v>79</v>
      </c>
      <c r="C88" s="396"/>
      <c r="D88" s="397"/>
      <c r="E88" s="81">
        <f>E89</f>
        <v>24555</v>
      </c>
      <c r="F88" s="114">
        <f>165330+E88</f>
        <v>189885</v>
      </c>
      <c r="G88" s="81">
        <f>G89+G90+G91+G92</f>
        <v>3927.06</v>
      </c>
      <c r="H88" s="23"/>
      <c r="I88" s="23">
        <f>I89+I90+I91</f>
        <v>0</v>
      </c>
      <c r="J88" s="23"/>
      <c r="K88" s="83">
        <f>K89+K90+K91+K92</f>
        <v>3927.06</v>
      </c>
      <c r="L88" s="23">
        <f>235246.63+K88</f>
        <v>239173.69</v>
      </c>
      <c r="M88" s="120">
        <f aca="true" t="shared" si="11" ref="M88:N103">E88-K88</f>
        <v>20627.94</v>
      </c>
      <c r="N88" s="125">
        <f t="shared" si="11"/>
        <v>-49288.69</v>
      </c>
      <c r="O88" s="26">
        <v>0</v>
      </c>
      <c r="P88" s="27">
        <v>0</v>
      </c>
      <c r="Q88" s="18"/>
      <c r="R88" s="173"/>
    </row>
    <row r="89" spans="1:18" ht="15.75" thickBot="1">
      <c r="A89" s="29" t="s">
        <v>179</v>
      </c>
      <c r="B89" s="340" t="s">
        <v>152</v>
      </c>
      <c r="C89" s="341"/>
      <c r="D89" s="342"/>
      <c r="E89" s="112">
        <f>E93+E94+E96+E97+E98+E100+E99+E95</f>
        <v>24555</v>
      </c>
      <c r="F89" s="108">
        <f>165330+E89</f>
        <v>189885</v>
      </c>
      <c r="G89" s="82">
        <f>G93+G94+G96+G97+G98+G99+G100</f>
        <v>3927.06</v>
      </c>
      <c r="H89" s="15"/>
      <c r="I89" s="15"/>
      <c r="J89" s="15"/>
      <c r="K89" s="84">
        <f>G89</f>
        <v>3927.06</v>
      </c>
      <c r="L89" s="15">
        <f>L93+L94+L96+L97+L98+L99+L100</f>
        <v>161378.69</v>
      </c>
      <c r="M89" s="119">
        <f t="shared" si="11"/>
        <v>20627.94</v>
      </c>
      <c r="N89" s="124">
        <f t="shared" si="11"/>
        <v>28506.309999999998</v>
      </c>
      <c r="O89" s="31">
        <v>0</v>
      </c>
      <c r="P89" s="123">
        <v>0</v>
      </c>
      <c r="Q89" s="18"/>
      <c r="R89" s="173"/>
    </row>
    <row r="90" spans="1:18" ht="15.75" thickBot="1">
      <c r="A90" s="29" t="s">
        <v>180</v>
      </c>
      <c r="B90" s="390" t="s">
        <v>151</v>
      </c>
      <c r="C90" s="391"/>
      <c r="D90" s="392"/>
      <c r="E90" s="112"/>
      <c r="F90" s="108"/>
      <c r="G90" s="82"/>
      <c r="H90" s="15"/>
      <c r="I90" s="15"/>
      <c r="J90" s="15"/>
      <c r="K90" s="84">
        <f aca="true" t="shared" si="12" ref="K90:K99">G90</f>
        <v>0</v>
      </c>
      <c r="L90" s="15">
        <f aca="true" t="shared" si="13" ref="L90:L120">0+K90</f>
        <v>0</v>
      </c>
      <c r="M90" s="119">
        <f t="shared" si="11"/>
        <v>0</v>
      </c>
      <c r="N90" s="124">
        <f t="shared" si="11"/>
        <v>0</v>
      </c>
      <c r="O90" s="31">
        <v>0</v>
      </c>
      <c r="P90" s="123">
        <v>0</v>
      </c>
      <c r="Q90" s="18"/>
      <c r="R90" s="173"/>
    </row>
    <row r="91" spans="1:18" ht="15.75" thickBot="1">
      <c r="A91" s="29" t="s">
        <v>181</v>
      </c>
      <c r="B91" s="340" t="s">
        <v>171</v>
      </c>
      <c r="C91" s="341"/>
      <c r="D91" s="342"/>
      <c r="E91" s="112"/>
      <c r="F91" s="108"/>
      <c r="G91" s="82"/>
      <c r="H91" s="15"/>
      <c r="I91" s="15">
        <f>I97</f>
        <v>0</v>
      </c>
      <c r="J91" s="15"/>
      <c r="K91" s="84">
        <f>I91</f>
        <v>0</v>
      </c>
      <c r="L91" s="15">
        <f t="shared" si="13"/>
        <v>0</v>
      </c>
      <c r="M91" s="119">
        <f t="shared" si="11"/>
        <v>0</v>
      </c>
      <c r="N91" s="124">
        <f t="shared" si="11"/>
        <v>0</v>
      </c>
      <c r="O91" s="31">
        <v>0</v>
      </c>
      <c r="P91" s="123">
        <v>0</v>
      </c>
      <c r="Q91" s="18"/>
      <c r="R91" s="173"/>
    </row>
    <row r="92" spans="1:18" ht="15.75" thickBot="1">
      <c r="A92" s="29" t="s">
        <v>182</v>
      </c>
      <c r="B92" s="340" t="s">
        <v>154</v>
      </c>
      <c r="C92" s="341"/>
      <c r="D92" s="342"/>
      <c r="E92" s="112"/>
      <c r="F92" s="108"/>
      <c r="G92" s="82"/>
      <c r="H92" s="15"/>
      <c r="I92" s="15"/>
      <c r="J92" s="15"/>
      <c r="K92" s="84">
        <f t="shared" si="12"/>
        <v>0</v>
      </c>
      <c r="L92" s="15">
        <f t="shared" si="13"/>
        <v>0</v>
      </c>
      <c r="M92" s="119">
        <f t="shared" si="11"/>
        <v>0</v>
      </c>
      <c r="N92" s="124">
        <f t="shared" si="11"/>
        <v>0</v>
      </c>
      <c r="O92" s="31">
        <v>0</v>
      </c>
      <c r="P92" s="123">
        <v>0</v>
      </c>
      <c r="Q92" s="18"/>
      <c r="R92" s="196">
        <f>L93+L94+L95+L96+L97+L98+L99+L100</f>
        <v>239173.69</v>
      </c>
    </row>
    <row r="93" spans="1:18" ht="15.75" thickBot="1">
      <c r="A93" s="29" t="s">
        <v>80</v>
      </c>
      <c r="B93" s="359" t="s">
        <v>81</v>
      </c>
      <c r="C93" s="360"/>
      <c r="D93" s="361"/>
      <c r="E93" s="108">
        <v>3000</v>
      </c>
      <c r="F93" s="108">
        <f>18000+E93</f>
        <v>21000</v>
      </c>
      <c r="G93" s="82"/>
      <c r="H93" s="13"/>
      <c r="I93" s="13"/>
      <c r="J93" s="13"/>
      <c r="K93" s="84">
        <f t="shared" si="12"/>
        <v>0</v>
      </c>
      <c r="L93" s="15">
        <f>18000+K93</f>
        <v>18000</v>
      </c>
      <c r="M93" s="119">
        <f t="shared" si="11"/>
        <v>3000</v>
      </c>
      <c r="N93" s="124">
        <f t="shared" si="11"/>
        <v>3000</v>
      </c>
      <c r="O93" s="31">
        <v>0</v>
      </c>
      <c r="P93" s="123">
        <v>0</v>
      </c>
      <c r="Q93" s="173"/>
      <c r="R93" s="18">
        <f>L89+L90+L91+L92</f>
        <v>161378.69</v>
      </c>
    </row>
    <row r="94" spans="1:18" ht="15.75" thickBot="1">
      <c r="A94" s="29" t="s">
        <v>82</v>
      </c>
      <c r="B94" s="387" t="s">
        <v>209</v>
      </c>
      <c r="C94" s="388"/>
      <c r="D94" s="389"/>
      <c r="E94" s="108">
        <v>4400</v>
      </c>
      <c r="F94" s="108">
        <f>26400+E94</f>
        <v>30800</v>
      </c>
      <c r="G94" s="82"/>
      <c r="H94" s="13"/>
      <c r="I94" s="13"/>
      <c r="J94" s="13"/>
      <c r="K94" s="84">
        <f>G94</f>
        <v>0</v>
      </c>
      <c r="L94" s="15">
        <f>26400+K94</f>
        <v>26400</v>
      </c>
      <c r="M94" s="119">
        <f t="shared" si="11"/>
        <v>4400</v>
      </c>
      <c r="N94" s="124">
        <f t="shared" si="11"/>
        <v>4400</v>
      </c>
      <c r="O94" s="31">
        <v>0</v>
      </c>
      <c r="P94" s="123">
        <v>0</v>
      </c>
      <c r="Q94" s="173"/>
      <c r="R94" s="173"/>
    </row>
    <row r="95" spans="1:18" ht="15.75" thickBot="1">
      <c r="A95" s="29" t="s">
        <v>83</v>
      </c>
      <c r="B95" s="359" t="s">
        <v>231</v>
      </c>
      <c r="C95" s="360"/>
      <c r="D95" s="361"/>
      <c r="E95" s="108"/>
      <c r="F95" s="108">
        <f>0+E95</f>
        <v>0</v>
      </c>
      <c r="G95" s="82"/>
      <c r="H95" s="13"/>
      <c r="I95" s="13"/>
      <c r="J95" s="13"/>
      <c r="K95" s="84">
        <f t="shared" si="12"/>
        <v>0</v>
      </c>
      <c r="L95" s="15">
        <f>77795+K95</f>
        <v>77795</v>
      </c>
      <c r="M95" s="119">
        <f t="shared" si="11"/>
        <v>0</v>
      </c>
      <c r="N95" s="124">
        <f t="shared" si="11"/>
        <v>-77795</v>
      </c>
      <c r="O95" s="31">
        <v>0</v>
      </c>
      <c r="P95" s="123">
        <v>0</v>
      </c>
      <c r="Q95" s="173"/>
      <c r="R95" s="173"/>
    </row>
    <row r="96" spans="1:18" ht="15.75" thickBot="1">
      <c r="A96" s="29" t="s">
        <v>85</v>
      </c>
      <c r="B96" s="359" t="s">
        <v>86</v>
      </c>
      <c r="C96" s="360"/>
      <c r="D96" s="361"/>
      <c r="E96" s="108">
        <v>1355</v>
      </c>
      <c r="F96" s="108">
        <f>8130+E96</f>
        <v>9485</v>
      </c>
      <c r="G96" s="82"/>
      <c r="H96" s="13"/>
      <c r="I96" s="13"/>
      <c r="J96" s="13"/>
      <c r="K96" s="84">
        <f t="shared" si="12"/>
        <v>0</v>
      </c>
      <c r="L96" s="15">
        <f>6600+K96</f>
        <v>6600</v>
      </c>
      <c r="M96" s="119">
        <f t="shared" si="11"/>
        <v>1355</v>
      </c>
      <c r="N96" s="124">
        <f t="shared" si="11"/>
        <v>2885</v>
      </c>
      <c r="O96" s="31">
        <v>0</v>
      </c>
      <c r="P96" s="123">
        <v>0</v>
      </c>
      <c r="Q96" s="173"/>
      <c r="R96" s="173"/>
    </row>
    <row r="97" spans="1:18" ht="15.75" thickBot="1">
      <c r="A97" s="29" t="s">
        <v>87</v>
      </c>
      <c r="B97" s="359" t="s">
        <v>88</v>
      </c>
      <c r="C97" s="360"/>
      <c r="D97" s="361"/>
      <c r="E97" s="108">
        <v>4500</v>
      </c>
      <c r="F97" s="108">
        <f>45000+E97</f>
        <v>49500</v>
      </c>
      <c r="G97" s="82">
        <v>3927.06</v>
      </c>
      <c r="H97" s="13"/>
      <c r="I97" s="13"/>
      <c r="J97" s="13"/>
      <c r="K97" s="84">
        <f>G97+I97</f>
        <v>3927.06</v>
      </c>
      <c r="L97" s="15">
        <f>36941.54+K97</f>
        <v>40868.6</v>
      </c>
      <c r="M97" s="119">
        <f t="shared" si="11"/>
        <v>572.94</v>
      </c>
      <c r="N97" s="124">
        <f t="shared" si="11"/>
        <v>8631.400000000001</v>
      </c>
      <c r="O97" s="31">
        <v>0</v>
      </c>
      <c r="P97" s="123">
        <v>0</v>
      </c>
      <c r="Q97" s="173"/>
      <c r="R97" s="248">
        <f>F93+F94+F95+F96+F97+F98+F99+F100</f>
        <v>189885</v>
      </c>
    </row>
    <row r="98" spans="1:16" ht="15.75" thickBot="1">
      <c r="A98" s="29" t="s">
        <v>89</v>
      </c>
      <c r="B98" s="359" t="s">
        <v>90</v>
      </c>
      <c r="C98" s="360"/>
      <c r="D98" s="361"/>
      <c r="E98" s="108">
        <v>1500</v>
      </c>
      <c r="F98" s="108">
        <f>9000+E98</f>
        <v>10500</v>
      </c>
      <c r="G98" s="82"/>
      <c r="H98" s="13"/>
      <c r="I98" s="13"/>
      <c r="J98" s="13"/>
      <c r="K98" s="84">
        <f t="shared" si="12"/>
        <v>0</v>
      </c>
      <c r="L98" s="15">
        <f>16632+K98</f>
        <v>16632</v>
      </c>
      <c r="M98" s="119">
        <f t="shared" si="11"/>
        <v>1500</v>
      </c>
      <c r="N98" s="124">
        <f t="shared" si="11"/>
        <v>-6132</v>
      </c>
      <c r="O98" s="31">
        <v>0</v>
      </c>
      <c r="P98" s="123">
        <v>0</v>
      </c>
    </row>
    <row r="99" spans="1:16" ht="15.75" thickBot="1">
      <c r="A99" s="29" t="s">
        <v>91</v>
      </c>
      <c r="B99" s="359" t="s">
        <v>92</v>
      </c>
      <c r="C99" s="360"/>
      <c r="D99" s="361"/>
      <c r="E99" s="108">
        <v>0</v>
      </c>
      <c r="F99" s="108">
        <f>0+E99</f>
        <v>0</v>
      </c>
      <c r="G99" s="82"/>
      <c r="H99" s="13"/>
      <c r="I99" s="13"/>
      <c r="J99" s="13"/>
      <c r="K99" s="84">
        <f t="shared" si="12"/>
        <v>0</v>
      </c>
      <c r="L99" s="15">
        <f t="shared" si="13"/>
        <v>0</v>
      </c>
      <c r="M99" s="119">
        <f t="shared" si="11"/>
        <v>0</v>
      </c>
      <c r="N99" s="124">
        <f t="shared" si="11"/>
        <v>0</v>
      </c>
      <c r="O99" s="31">
        <v>0</v>
      </c>
      <c r="P99" s="123">
        <v>0</v>
      </c>
    </row>
    <row r="100" spans="1:16" ht="15.75" thickBot="1">
      <c r="A100" s="29" t="s">
        <v>93</v>
      </c>
      <c r="B100" s="359" t="s">
        <v>94</v>
      </c>
      <c r="C100" s="360"/>
      <c r="D100" s="361"/>
      <c r="E100" s="108">
        <v>9800</v>
      </c>
      <c r="F100" s="108">
        <f>58800+E100</f>
        <v>68600</v>
      </c>
      <c r="G100" s="82"/>
      <c r="H100" s="13"/>
      <c r="I100" s="13"/>
      <c r="J100" s="13"/>
      <c r="K100" s="84">
        <f>G100</f>
        <v>0</v>
      </c>
      <c r="L100" s="15">
        <f>52878.09+K100</f>
        <v>52878.09</v>
      </c>
      <c r="M100" s="119">
        <f t="shared" si="11"/>
        <v>9800</v>
      </c>
      <c r="N100" s="124">
        <f t="shared" si="11"/>
        <v>15721.910000000003</v>
      </c>
      <c r="O100" s="31">
        <v>0</v>
      </c>
      <c r="P100" s="123">
        <v>0</v>
      </c>
    </row>
    <row r="101" spans="1:18" ht="30" customHeight="1" thickBot="1">
      <c r="A101" s="56" t="s">
        <v>95</v>
      </c>
      <c r="B101" s="425" t="s">
        <v>96</v>
      </c>
      <c r="C101" s="323"/>
      <c r="D101" s="324"/>
      <c r="E101" s="114">
        <f>E102+E103</f>
        <v>184250</v>
      </c>
      <c r="F101" s="114">
        <f>595702+E101</f>
        <v>779952</v>
      </c>
      <c r="G101" s="114">
        <f>G102+G104+G105</f>
        <v>3000</v>
      </c>
      <c r="H101" s="32">
        <f>H103</f>
        <v>0</v>
      </c>
      <c r="I101" s="23">
        <f>I104</f>
        <v>0</v>
      </c>
      <c r="J101" s="23"/>
      <c r="K101" s="114">
        <f>G101+H101+I101+J101</f>
        <v>3000</v>
      </c>
      <c r="L101" s="23">
        <f>L102+L103+L104+L105</f>
        <v>592589.98</v>
      </c>
      <c r="M101" s="120">
        <f t="shared" si="11"/>
        <v>181250</v>
      </c>
      <c r="N101" s="125">
        <f t="shared" si="11"/>
        <v>187362.02000000002</v>
      </c>
      <c r="O101" s="26">
        <v>0</v>
      </c>
      <c r="P101" s="27">
        <v>0</v>
      </c>
      <c r="R101" s="197">
        <f>L102+L104-L101</f>
        <v>-153006</v>
      </c>
    </row>
    <row r="102" spans="1:18" ht="15.75" thickBot="1">
      <c r="A102" s="29" t="s">
        <v>183</v>
      </c>
      <c r="B102" s="340" t="s">
        <v>152</v>
      </c>
      <c r="C102" s="341"/>
      <c r="D102" s="342"/>
      <c r="E102" s="112">
        <f>E106+E107+E114+E119+E131+E113+E128+E115+E120</f>
        <v>171500</v>
      </c>
      <c r="F102" s="108">
        <f>519200+E102</f>
        <v>690700</v>
      </c>
      <c r="G102" s="13">
        <f>G106+G107+G108+G109+G110+G111+G112+G113+G114+G115+G116+G117+G118+G119+G126+G127+G128+G129+G130+G131</f>
        <v>3000</v>
      </c>
      <c r="H102" s="13"/>
      <c r="I102" s="15"/>
      <c r="J102" s="15"/>
      <c r="K102" s="84">
        <f>G102</f>
        <v>3000</v>
      </c>
      <c r="L102" s="15">
        <f>323533.98+K102</f>
        <v>326533.98</v>
      </c>
      <c r="M102" s="119">
        <f t="shared" si="11"/>
        <v>168500</v>
      </c>
      <c r="N102" s="124">
        <f t="shared" si="11"/>
        <v>364166.02</v>
      </c>
      <c r="O102" s="31">
        <v>0</v>
      </c>
      <c r="P102" s="123">
        <v>0</v>
      </c>
      <c r="R102" s="197"/>
    </row>
    <row r="103" spans="1:18" ht="15.75" thickBot="1">
      <c r="A103" s="29" t="s">
        <v>184</v>
      </c>
      <c r="B103" s="390" t="s">
        <v>151</v>
      </c>
      <c r="C103" s="391"/>
      <c r="D103" s="392"/>
      <c r="E103" s="112">
        <f>E129</f>
        <v>12750</v>
      </c>
      <c r="F103" s="108">
        <f>76502+E103</f>
        <v>89252</v>
      </c>
      <c r="G103" s="13"/>
      <c r="H103" s="13">
        <f>H129</f>
        <v>0</v>
      </c>
      <c r="I103" s="15"/>
      <c r="J103" s="15"/>
      <c r="K103" s="84">
        <f>H103</f>
        <v>0</v>
      </c>
      <c r="L103" s="15">
        <f>153006+K103</f>
        <v>153006</v>
      </c>
      <c r="M103" s="119">
        <f t="shared" si="11"/>
        <v>12750</v>
      </c>
      <c r="N103" s="124">
        <f t="shared" si="11"/>
        <v>-63754</v>
      </c>
      <c r="O103" s="31">
        <v>0</v>
      </c>
      <c r="P103" s="123">
        <v>0</v>
      </c>
      <c r="R103" s="201"/>
    </row>
    <row r="104" spans="1:16" ht="15.75" thickBot="1">
      <c r="A104" s="29" t="s">
        <v>185</v>
      </c>
      <c r="B104" s="340" t="s">
        <v>171</v>
      </c>
      <c r="C104" s="341"/>
      <c r="D104" s="342"/>
      <c r="E104" s="112"/>
      <c r="F104" s="108"/>
      <c r="G104" s="108"/>
      <c r="H104" s="13"/>
      <c r="I104" s="15">
        <f>I128</f>
        <v>0</v>
      </c>
      <c r="J104" s="15"/>
      <c r="K104" s="84">
        <f>I104</f>
        <v>0</v>
      </c>
      <c r="L104" s="15">
        <f>113050+K104</f>
        <v>113050</v>
      </c>
      <c r="M104" s="119">
        <f aca="true" t="shared" si="14" ref="M104:N120">E104-K104</f>
        <v>0</v>
      </c>
      <c r="N104" s="124">
        <f t="shared" si="14"/>
        <v>-113050</v>
      </c>
      <c r="O104" s="31">
        <v>0</v>
      </c>
      <c r="P104" s="123">
        <v>0</v>
      </c>
    </row>
    <row r="105" spans="1:18" ht="15.75" thickBot="1">
      <c r="A105" s="29" t="s">
        <v>186</v>
      </c>
      <c r="B105" s="390" t="s">
        <v>154</v>
      </c>
      <c r="C105" s="391"/>
      <c r="D105" s="392"/>
      <c r="E105" s="112"/>
      <c r="F105" s="108"/>
      <c r="G105" s="13"/>
      <c r="H105" s="13"/>
      <c r="I105" s="15"/>
      <c r="J105" s="15"/>
      <c r="K105" s="84">
        <f>G105</f>
        <v>0</v>
      </c>
      <c r="L105" s="15">
        <f t="shared" si="13"/>
        <v>0</v>
      </c>
      <c r="M105" s="119">
        <f t="shared" si="14"/>
        <v>0</v>
      </c>
      <c r="N105" s="124">
        <f t="shared" si="14"/>
        <v>0</v>
      </c>
      <c r="O105" s="31">
        <v>0</v>
      </c>
      <c r="P105" s="123">
        <v>0</v>
      </c>
      <c r="R105" s="197">
        <f>L106+L113+L114+L118+L119+L131</f>
        <v>158838.59000000003</v>
      </c>
    </row>
    <row r="106" spans="1:16" ht="15.75" thickBot="1">
      <c r="A106" s="29" t="s">
        <v>97</v>
      </c>
      <c r="B106" s="511" t="s">
        <v>98</v>
      </c>
      <c r="C106" s="512"/>
      <c r="D106" s="513"/>
      <c r="E106" s="108"/>
      <c r="F106" s="108">
        <f>32600+E106</f>
        <v>32600</v>
      </c>
      <c r="G106" s="13"/>
      <c r="H106" s="13"/>
      <c r="I106" s="13"/>
      <c r="J106" s="13"/>
      <c r="K106" s="84">
        <f aca="true" t="shared" si="15" ref="K106:K120">G106</f>
        <v>0</v>
      </c>
      <c r="L106" s="15">
        <f>39800+K106</f>
        <v>39800</v>
      </c>
      <c r="M106" s="119">
        <f t="shared" si="14"/>
        <v>0</v>
      </c>
      <c r="N106" s="124">
        <f t="shared" si="14"/>
        <v>-7200</v>
      </c>
      <c r="O106" s="31">
        <v>0</v>
      </c>
      <c r="P106" s="123">
        <v>0</v>
      </c>
    </row>
    <row r="107" spans="1:16" ht="15.75" thickBot="1">
      <c r="A107" s="29" t="s">
        <v>99</v>
      </c>
      <c r="B107" s="359" t="s">
        <v>100</v>
      </c>
      <c r="C107" s="360"/>
      <c r="D107" s="361"/>
      <c r="E107" s="108"/>
      <c r="F107" s="108">
        <f>15000+E107</f>
        <v>15000</v>
      </c>
      <c r="G107" s="13"/>
      <c r="H107" s="13"/>
      <c r="I107" s="13"/>
      <c r="J107" s="13"/>
      <c r="K107" s="84">
        <f t="shared" si="15"/>
        <v>0</v>
      </c>
      <c r="L107" s="15">
        <f t="shared" si="13"/>
        <v>0</v>
      </c>
      <c r="M107" s="119">
        <f t="shared" si="14"/>
        <v>0</v>
      </c>
      <c r="N107" s="124">
        <f t="shared" si="14"/>
        <v>15000</v>
      </c>
      <c r="O107" s="31">
        <v>0</v>
      </c>
      <c r="P107" s="123">
        <v>0</v>
      </c>
    </row>
    <row r="108" spans="1:16" ht="26.25" customHeight="1" thickBot="1">
      <c r="A108" s="29" t="s">
        <v>101</v>
      </c>
      <c r="B108" s="384" t="s">
        <v>102</v>
      </c>
      <c r="C108" s="385"/>
      <c r="D108" s="386"/>
      <c r="E108" s="108"/>
      <c r="F108" s="108"/>
      <c r="G108" s="13"/>
      <c r="H108" s="13"/>
      <c r="I108" s="13"/>
      <c r="J108" s="13"/>
      <c r="K108" s="84">
        <f t="shared" si="15"/>
        <v>0</v>
      </c>
      <c r="L108" s="15">
        <f t="shared" si="13"/>
        <v>0</v>
      </c>
      <c r="M108" s="119">
        <f t="shared" si="14"/>
        <v>0</v>
      </c>
      <c r="N108" s="124">
        <f t="shared" si="14"/>
        <v>0</v>
      </c>
      <c r="O108" s="31">
        <v>0</v>
      </c>
      <c r="P108" s="123">
        <v>0</v>
      </c>
    </row>
    <row r="109" spans="1:16" ht="15.75" thickBot="1">
      <c r="A109" s="29" t="s">
        <v>103</v>
      </c>
      <c r="B109" s="359" t="s">
        <v>104</v>
      </c>
      <c r="C109" s="360"/>
      <c r="D109" s="361"/>
      <c r="E109" s="108"/>
      <c r="F109" s="108"/>
      <c r="G109" s="13"/>
      <c r="H109" s="13"/>
      <c r="I109" s="13"/>
      <c r="J109" s="13"/>
      <c r="K109" s="84">
        <f t="shared" si="15"/>
        <v>0</v>
      </c>
      <c r="L109" s="15">
        <f t="shared" si="13"/>
        <v>0</v>
      </c>
      <c r="M109" s="119">
        <f t="shared" si="14"/>
        <v>0</v>
      </c>
      <c r="N109" s="124">
        <f t="shared" si="14"/>
        <v>0</v>
      </c>
      <c r="O109" s="31">
        <v>0</v>
      </c>
      <c r="P109" s="123">
        <v>0</v>
      </c>
    </row>
    <row r="110" spans="1:18" ht="15.75" thickBot="1">
      <c r="A110" s="29" t="s">
        <v>105</v>
      </c>
      <c r="B110" s="359" t="s">
        <v>106</v>
      </c>
      <c r="C110" s="360"/>
      <c r="D110" s="361"/>
      <c r="E110" s="108"/>
      <c r="F110" s="108"/>
      <c r="G110" s="13"/>
      <c r="H110" s="13"/>
      <c r="I110" s="13"/>
      <c r="J110" s="13"/>
      <c r="K110" s="84">
        <f t="shared" si="15"/>
        <v>0</v>
      </c>
      <c r="L110" s="15">
        <f t="shared" si="13"/>
        <v>0</v>
      </c>
      <c r="M110" s="119">
        <f t="shared" si="14"/>
        <v>0</v>
      </c>
      <c r="N110" s="124">
        <f t="shared" si="14"/>
        <v>0</v>
      </c>
      <c r="O110" s="31">
        <v>0</v>
      </c>
      <c r="P110" s="123">
        <v>0</v>
      </c>
      <c r="R110" s="201"/>
    </row>
    <row r="111" spans="1:16" ht="15.75" thickBot="1">
      <c r="A111" s="29" t="s">
        <v>107</v>
      </c>
      <c r="B111" s="384" t="s">
        <v>108</v>
      </c>
      <c r="C111" s="385"/>
      <c r="D111" s="386"/>
      <c r="E111" s="108"/>
      <c r="F111" s="108"/>
      <c r="G111" s="13"/>
      <c r="H111" s="13"/>
      <c r="I111" s="13"/>
      <c r="J111" s="13"/>
      <c r="K111" s="84">
        <f t="shared" si="15"/>
        <v>0</v>
      </c>
      <c r="L111" s="15">
        <f t="shared" si="13"/>
        <v>0</v>
      </c>
      <c r="M111" s="119">
        <f t="shared" si="14"/>
        <v>0</v>
      </c>
      <c r="N111" s="124">
        <f t="shared" si="14"/>
        <v>0</v>
      </c>
      <c r="O111" s="31">
        <v>0</v>
      </c>
      <c r="P111" s="123">
        <v>0</v>
      </c>
    </row>
    <row r="112" spans="1:16" ht="15.75" thickBot="1">
      <c r="A112" s="29" t="s">
        <v>109</v>
      </c>
      <c r="B112" s="359" t="s">
        <v>110</v>
      </c>
      <c r="C112" s="360"/>
      <c r="D112" s="361"/>
      <c r="E112" s="108"/>
      <c r="F112" s="108"/>
      <c r="G112" s="13"/>
      <c r="H112" s="13"/>
      <c r="I112" s="13"/>
      <c r="J112" s="13"/>
      <c r="K112" s="84">
        <f t="shared" si="15"/>
        <v>0</v>
      </c>
      <c r="L112" s="15">
        <f t="shared" si="13"/>
        <v>0</v>
      </c>
      <c r="M112" s="119">
        <f t="shared" si="14"/>
        <v>0</v>
      </c>
      <c r="N112" s="124">
        <f t="shared" si="14"/>
        <v>0</v>
      </c>
      <c r="O112" s="31">
        <v>0</v>
      </c>
      <c r="P112" s="123">
        <v>0</v>
      </c>
    </row>
    <row r="113" spans="1:16" ht="15.75" thickBot="1">
      <c r="A113" s="29" t="s">
        <v>111</v>
      </c>
      <c r="B113" s="359" t="s">
        <v>112</v>
      </c>
      <c r="C113" s="360"/>
      <c r="D113" s="361"/>
      <c r="E113" s="108"/>
      <c r="F113" s="108">
        <f>40000+E113</f>
        <v>40000</v>
      </c>
      <c r="G113" s="13"/>
      <c r="H113" s="13"/>
      <c r="I113" s="13"/>
      <c r="J113" s="13"/>
      <c r="K113" s="84">
        <f t="shared" si="15"/>
        <v>0</v>
      </c>
      <c r="L113" s="15">
        <f>30430+K113</f>
        <v>30430</v>
      </c>
      <c r="M113" s="119">
        <f t="shared" si="14"/>
        <v>0</v>
      </c>
      <c r="N113" s="124">
        <f t="shared" si="14"/>
        <v>9570</v>
      </c>
      <c r="O113" s="31">
        <v>0</v>
      </c>
      <c r="P113" s="123">
        <v>0</v>
      </c>
    </row>
    <row r="114" spans="1:16" ht="15.75" thickBot="1">
      <c r="A114" s="29" t="s">
        <v>113</v>
      </c>
      <c r="B114" s="359" t="s">
        <v>114</v>
      </c>
      <c r="C114" s="360"/>
      <c r="D114" s="361"/>
      <c r="E114" s="108">
        <v>1500</v>
      </c>
      <c r="F114" s="108">
        <f>9000+E114</f>
        <v>10500</v>
      </c>
      <c r="G114" s="13">
        <v>1500</v>
      </c>
      <c r="H114" s="13"/>
      <c r="I114" s="13"/>
      <c r="J114" s="13"/>
      <c r="K114" s="84">
        <f t="shared" si="15"/>
        <v>1500</v>
      </c>
      <c r="L114" s="15">
        <f>24380.05+K114</f>
        <v>25880.05</v>
      </c>
      <c r="M114" s="119">
        <f t="shared" si="14"/>
        <v>0</v>
      </c>
      <c r="N114" s="124">
        <f t="shared" si="14"/>
        <v>-15380.05</v>
      </c>
      <c r="O114" s="31">
        <v>0</v>
      </c>
      <c r="P114" s="123">
        <v>0</v>
      </c>
    </row>
    <row r="115" spans="1:16" ht="15.75" thickBot="1">
      <c r="A115" s="29" t="s">
        <v>115</v>
      </c>
      <c r="B115" s="359" t="s">
        <v>116</v>
      </c>
      <c r="C115" s="360"/>
      <c r="D115" s="361"/>
      <c r="E115" s="108">
        <v>80000</v>
      </c>
      <c r="F115" s="108">
        <f>80000+E115</f>
        <v>160000</v>
      </c>
      <c r="G115" s="13"/>
      <c r="H115" s="13"/>
      <c r="I115" s="13"/>
      <c r="J115" s="13"/>
      <c r="K115" s="84">
        <f t="shared" si="15"/>
        <v>0</v>
      </c>
      <c r="L115" s="15">
        <f t="shared" si="13"/>
        <v>0</v>
      </c>
      <c r="M115" s="119">
        <f t="shared" si="14"/>
        <v>80000</v>
      </c>
      <c r="N115" s="124">
        <f t="shared" si="14"/>
        <v>160000</v>
      </c>
      <c r="O115" s="31">
        <v>0</v>
      </c>
      <c r="P115" s="123">
        <v>0</v>
      </c>
    </row>
    <row r="116" spans="1:16" ht="15.75" thickBot="1">
      <c r="A116" s="29" t="s">
        <v>117</v>
      </c>
      <c r="B116" s="359" t="s">
        <v>118</v>
      </c>
      <c r="C116" s="360"/>
      <c r="D116" s="361"/>
      <c r="E116" s="108"/>
      <c r="F116" s="108"/>
      <c r="G116" s="13"/>
      <c r="H116" s="13"/>
      <c r="I116" s="13"/>
      <c r="J116" s="13"/>
      <c r="K116" s="84">
        <f t="shared" si="15"/>
        <v>0</v>
      </c>
      <c r="L116" s="15">
        <f t="shared" si="13"/>
        <v>0</v>
      </c>
      <c r="M116" s="119">
        <f t="shared" si="14"/>
        <v>0</v>
      </c>
      <c r="N116" s="124">
        <f t="shared" si="14"/>
        <v>0</v>
      </c>
      <c r="O116" s="31">
        <v>0</v>
      </c>
      <c r="P116" s="123">
        <v>0</v>
      </c>
    </row>
    <row r="117" spans="1:16" ht="15.75" thickBot="1">
      <c r="A117" s="29"/>
      <c r="B117" s="359" t="s">
        <v>119</v>
      </c>
      <c r="C117" s="360"/>
      <c r="D117" s="361"/>
      <c r="E117" s="108"/>
      <c r="F117" s="108"/>
      <c r="G117" s="13"/>
      <c r="H117" s="13"/>
      <c r="I117" s="13"/>
      <c r="J117" s="13"/>
      <c r="K117" s="84">
        <f t="shared" si="15"/>
        <v>0</v>
      </c>
      <c r="L117" s="15">
        <f t="shared" si="13"/>
        <v>0</v>
      </c>
      <c r="M117" s="119">
        <f t="shared" si="14"/>
        <v>0</v>
      </c>
      <c r="N117" s="124">
        <f t="shared" si="14"/>
        <v>0</v>
      </c>
      <c r="O117" s="31">
        <v>0</v>
      </c>
      <c r="P117" s="123">
        <v>0</v>
      </c>
    </row>
    <row r="118" spans="1:16" ht="15.75" thickBot="1">
      <c r="A118" s="29" t="s">
        <v>120</v>
      </c>
      <c r="B118" s="359" t="s">
        <v>121</v>
      </c>
      <c r="C118" s="360"/>
      <c r="D118" s="361"/>
      <c r="E118" s="108"/>
      <c r="F118" s="108"/>
      <c r="G118" s="13"/>
      <c r="H118" s="13"/>
      <c r="I118" s="13"/>
      <c r="J118" s="13"/>
      <c r="K118" s="84">
        <f t="shared" si="15"/>
        <v>0</v>
      </c>
      <c r="L118" s="15">
        <f>1827.49+K118</f>
        <v>1827.49</v>
      </c>
      <c r="M118" s="119">
        <f t="shared" si="14"/>
        <v>0</v>
      </c>
      <c r="N118" s="124">
        <f t="shared" si="14"/>
        <v>-1827.49</v>
      </c>
      <c r="O118" s="31">
        <v>0</v>
      </c>
      <c r="P118" s="123">
        <v>0</v>
      </c>
    </row>
    <row r="119" spans="1:18" ht="15.75" thickBot="1">
      <c r="A119" s="29" t="s">
        <v>211</v>
      </c>
      <c r="B119" s="381" t="s">
        <v>122</v>
      </c>
      <c r="C119" s="382"/>
      <c r="D119" s="383"/>
      <c r="E119" s="108"/>
      <c r="F119" s="108">
        <f>36000+E119</f>
        <v>36000</v>
      </c>
      <c r="G119" s="13"/>
      <c r="H119" s="13"/>
      <c r="I119" s="13"/>
      <c r="J119" s="13"/>
      <c r="K119" s="84">
        <f t="shared" si="15"/>
        <v>0</v>
      </c>
      <c r="L119" s="15">
        <f>51706.38+K119</f>
        <v>51706.38</v>
      </c>
      <c r="M119" s="119">
        <f t="shared" si="14"/>
        <v>0</v>
      </c>
      <c r="N119" s="124">
        <f t="shared" si="14"/>
        <v>-15706.379999999997</v>
      </c>
      <c r="O119" s="31">
        <v>0</v>
      </c>
      <c r="P119" s="123">
        <v>0</v>
      </c>
      <c r="R119" s="201">
        <f>F131+F129+F128+F119+F115+F114+F113+F107+F106</f>
        <v>676601</v>
      </c>
    </row>
    <row r="120" spans="1:16" ht="15.75" thickBot="1">
      <c r="A120" s="34" t="s">
        <v>123</v>
      </c>
      <c r="B120" s="359" t="s">
        <v>124</v>
      </c>
      <c r="C120" s="360"/>
      <c r="D120" s="361"/>
      <c r="E120" s="108">
        <v>90000</v>
      </c>
      <c r="F120" s="108"/>
      <c r="G120" s="13"/>
      <c r="H120" s="13"/>
      <c r="I120" s="13"/>
      <c r="J120" s="13"/>
      <c r="K120" s="84">
        <f t="shared" si="15"/>
        <v>0</v>
      </c>
      <c r="L120" s="15">
        <f t="shared" si="13"/>
        <v>0</v>
      </c>
      <c r="M120" s="119">
        <f t="shared" si="14"/>
        <v>90000</v>
      </c>
      <c r="N120" s="124">
        <f t="shared" si="14"/>
        <v>0</v>
      </c>
      <c r="O120" s="31">
        <v>0</v>
      </c>
      <c r="P120" s="123">
        <v>0</v>
      </c>
    </row>
    <row r="121" spans="1:16" ht="15">
      <c r="A121" s="202"/>
      <c r="B121" s="576" t="s">
        <v>30</v>
      </c>
      <c r="C121" s="576"/>
      <c r="D121" s="576"/>
      <c r="E121" s="576"/>
      <c r="F121" s="576"/>
      <c r="G121" s="576"/>
      <c r="H121" s="576"/>
      <c r="I121" s="576"/>
      <c r="J121" s="576"/>
      <c r="K121" s="576"/>
      <c r="L121" s="576"/>
      <c r="M121" s="576"/>
      <c r="N121" s="576"/>
      <c r="O121" s="576"/>
      <c r="P121" s="577"/>
    </row>
    <row r="122" spans="1:16" ht="7.5" customHeight="1" thickBot="1">
      <c r="A122" s="203"/>
      <c r="B122" s="579"/>
      <c r="C122" s="579"/>
      <c r="D122" s="579"/>
      <c r="E122" s="579"/>
      <c r="F122" s="579"/>
      <c r="G122" s="579"/>
      <c r="H122" s="579"/>
      <c r="I122" s="579"/>
      <c r="J122" s="579"/>
      <c r="K122" s="579"/>
      <c r="L122" s="579"/>
      <c r="M122" s="579"/>
      <c r="N122" s="579"/>
      <c r="O122" s="579"/>
      <c r="P122" s="580"/>
    </row>
    <row r="123" spans="1:16" ht="15.75" thickBot="1">
      <c r="A123" s="204"/>
      <c r="B123" s="599" t="s">
        <v>14</v>
      </c>
      <c r="C123" s="600"/>
      <c r="D123" s="601"/>
      <c r="E123" s="605" t="s">
        <v>24</v>
      </c>
      <c r="F123" s="607" t="s">
        <v>25</v>
      </c>
      <c r="G123" s="609" t="s">
        <v>31</v>
      </c>
      <c r="H123" s="610"/>
      <c r="I123" s="610"/>
      <c r="J123" s="610"/>
      <c r="K123" s="611"/>
      <c r="L123" s="597" t="s">
        <v>16</v>
      </c>
      <c r="M123" s="597" t="s">
        <v>17</v>
      </c>
      <c r="N123" s="597" t="s">
        <v>18</v>
      </c>
      <c r="O123" s="597" t="s">
        <v>19</v>
      </c>
      <c r="P123" s="597" t="s">
        <v>20</v>
      </c>
    </row>
    <row r="124" spans="1:16" ht="69.75" customHeight="1" thickBot="1">
      <c r="A124" s="257"/>
      <c r="B124" s="602"/>
      <c r="C124" s="603"/>
      <c r="D124" s="604"/>
      <c r="E124" s="606"/>
      <c r="F124" s="608"/>
      <c r="G124" s="205" t="s">
        <v>32</v>
      </c>
      <c r="H124" s="205" t="s">
        <v>33</v>
      </c>
      <c r="I124" s="205" t="s">
        <v>34</v>
      </c>
      <c r="J124" s="206" t="s">
        <v>220</v>
      </c>
      <c r="K124" s="207" t="s">
        <v>27</v>
      </c>
      <c r="L124" s="598"/>
      <c r="M124" s="598"/>
      <c r="N124" s="598"/>
      <c r="O124" s="598"/>
      <c r="P124" s="598"/>
    </row>
    <row r="125" spans="1:16" ht="15.75" thickBot="1">
      <c r="A125" s="38"/>
      <c r="B125" s="536">
        <v>1</v>
      </c>
      <c r="C125" s="537"/>
      <c r="D125" s="538"/>
      <c r="E125" s="180" t="s">
        <v>22</v>
      </c>
      <c r="F125" s="264">
        <v>3</v>
      </c>
      <c r="G125" s="264">
        <v>4</v>
      </c>
      <c r="H125" s="264">
        <v>5</v>
      </c>
      <c r="I125" s="175">
        <v>6</v>
      </c>
      <c r="J125" s="175">
        <v>7</v>
      </c>
      <c r="K125" s="192">
        <v>8</v>
      </c>
      <c r="L125" s="262">
        <v>9</v>
      </c>
      <c r="M125" s="175">
        <v>10</v>
      </c>
      <c r="N125" s="262">
        <v>11</v>
      </c>
      <c r="O125" s="175">
        <v>12</v>
      </c>
      <c r="P125" s="262">
        <v>13</v>
      </c>
    </row>
    <row r="126" spans="1:16" ht="27.75" thickBot="1">
      <c r="A126" s="115" t="s">
        <v>125</v>
      </c>
      <c r="B126" s="514" t="s">
        <v>126</v>
      </c>
      <c r="C126" s="515"/>
      <c r="D126" s="516"/>
      <c r="E126" s="108"/>
      <c r="F126" s="108"/>
      <c r="G126" s="13"/>
      <c r="H126" s="13"/>
      <c r="I126" s="13"/>
      <c r="J126" s="13"/>
      <c r="K126" s="84">
        <f aca="true" t="shared" si="16" ref="K126:K140">G126</f>
        <v>0</v>
      </c>
      <c r="L126" s="15">
        <f aca="true" t="shared" si="17" ref="L126:L140">0+K126</f>
        <v>0</v>
      </c>
      <c r="M126" s="119">
        <f aca="true" t="shared" si="18" ref="M126:N141">E126-K126</f>
        <v>0</v>
      </c>
      <c r="N126" s="124">
        <f t="shared" si="18"/>
        <v>0</v>
      </c>
      <c r="O126" s="31">
        <v>0</v>
      </c>
      <c r="P126" s="123">
        <v>0</v>
      </c>
    </row>
    <row r="127" spans="1:16" ht="27.75" thickBot="1">
      <c r="A127" s="116" t="s">
        <v>127</v>
      </c>
      <c r="B127" s="427" t="s">
        <v>128</v>
      </c>
      <c r="C127" s="428"/>
      <c r="D127" s="429"/>
      <c r="E127" s="108"/>
      <c r="F127" s="108"/>
      <c r="G127" s="13"/>
      <c r="H127" s="13"/>
      <c r="I127" s="13"/>
      <c r="J127" s="13"/>
      <c r="K127" s="84">
        <f t="shared" si="16"/>
        <v>0</v>
      </c>
      <c r="L127" s="15">
        <f t="shared" si="17"/>
        <v>0</v>
      </c>
      <c r="M127" s="119">
        <f t="shared" si="18"/>
        <v>0</v>
      </c>
      <c r="N127" s="124">
        <f t="shared" si="18"/>
        <v>0</v>
      </c>
      <c r="O127" s="31">
        <v>0</v>
      </c>
      <c r="P127" s="123">
        <v>0</v>
      </c>
    </row>
    <row r="128" spans="1:16" ht="30.75" thickBot="1">
      <c r="A128" s="39" t="s">
        <v>129</v>
      </c>
      <c r="B128" s="359" t="s">
        <v>130</v>
      </c>
      <c r="C128" s="360"/>
      <c r="D128" s="361"/>
      <c r="E128" s="108"/>
      <c r="F128" s="108">
        <f>300000+E128</f>
        <v>300000</v>
      </c>
      <c r="G128" s="13"/>
      <c r="H128" s="13"/>
      <c r="I128" s="13"/>
      <c r="J128" s="13"/>
      <c r="K128" s="84">
        <f>I128+G128</f>
        <v>0</v>
      </c>
      <c r="L128" s="15">
        <f>279245.39+K128</f>
        <v>279245.39</v>
      </c>
      <c r="M128" s="119">
        <f t="shared" si="18"/>
        <v>0</v>
      </c>
      <c r="N128" s="124">
        <f t="shared" si="18"/>
        <v>20754.609999999986</v>
      </c>
      <c r="O128" s="31">
        <v>0</v>
      </c>
      <c r="P128" s="123">
        <v>0</v>
      </c>
    </row>
    <row r="129" spans="1:16" ht="30.75" customHeight="1" thickBot="1">
      <c r="A129" s="39" t="s">
        <v>131</v>
      </c>
      <c r="B129" s="387" t="s">
        <v>222</v>
      </c>
      <c r="C129" s="388"/>
      <c r="D129" s="389"/>
      <c r="E129" s="108">
        <v>12750</v>
      </c>
      <c r="F129" s="108">
        <f>63751+E129</f>
        <v>76501</v>
      </c>
      <c r="G129" s="13"/>
      <c r="H129" s="13"/>
      <c r="I129" s="13"/>
      <c r="J129" s="13"/>
      <c r="K129" s="84">
        <f>H129</f>
        <v>0</v>
      </c>
      <c r="L129" s="15">
        <f>153006+K129</f>
        <v>153006</v>
      </c>
      <c r="M129" s="119">
        <f t="shared" si="18"/>
        <v>12750</v>
      </c>
      <c r="N129" s="124">
        <f t="shared" si="18"/>
        <v>-76505</v>
      </c>
      <c r="O129" s="31">
        <v>0</v>
      </c>
      <c r="P129" s="123">
        <v>0</v>
      </c>
    </row>
    <row r="130" spans="1:16" ht="30.75" thickBot="1">
      <c r="A130" s="73" t="s">
        <v>133</v>
      </c>
      <c r="B130" s="359" t="s">
        <v>134</v>
      </c>
      <c r="C130" s="360"/>
      <c r="D130" s="361"/>
      <c r="E130" s="108"/>
      <c r="F130" s="108"/>
      <c r="G130" s="13">
        <v>1500</v>
      </c>
      <c r="H130" s="13"/>
      <c r="I130" s="13"/>
      <c r="J130" s="13"/>
      <c r="K130" s="84">
        <f t="shared" si="16"/>
        <v>1500</v>
      </c>
      <c r="L130" s="15">
        <f t="shared" si="17"/>
        <v>1500</v>
      </c>
      <c r="M130" s="119">
        <f t="shared" si="18"/>
        <v>-1500</v>
      </c>
      <c r="N130" s="124">
        <f t="shared" si="18"/>
        <v>-1500</v>
      </c>
      <c r="O130" s="31">
        <v>0</v>
      </c>
      <c r="P130" s="123">
        <v>0</v>
      </c>
    </row>
    <row r="131" spans="1:16" ht="30.75" thickBot="1">
      <c r="A131" s="73" t="s">
        <v>135</v>
      </c>
      <c r="B131" s="511" t="s">
        <v>136</v>
      </c>
      <c r="C131" s="512"/>
      <c r="D131" s="513"/>
      <c r="E131" s="108"/>
      <c r="F131" s="108">
        <f>6000+E131</f>
        <v>6000</v>
      </c>
      <c r="G131" s="13"/>
      <c r="H131" s="13"/>
      <c r="I131" s="13"/>
      <c r="J131" s="13"/>
      <c r="K131" s="84">
        <f t="shared" si="16"/>
        <v>0</v>
      </c>
      <c r="L131" s="15">
        <f>9194.67+K131</f>
        <v>9194.67</v>
      </c>
      <c r="M131" s="119">
        <f t="shared" si="18"/>
        <v>0</v>
      </c>
      <c r="N131" s="124">
        <f t="shared" si="18"/>
        <v>-3194.67</v>
      </c>
      <c r="O131" s="31">
        <v>0</v>
      </c>
      <c r="P131" s="123">
        <v>0</v>
      </c>
    </row>
    <row r="132" spans="1:19" ht="33.75" customHeight="1" thickBot="1">
      <c r="A132" s="40">
        <v>15</v>
      </c>
      <c r="B132" s="338" t="s">
        <v>137</v>
      </c>
      <c r="C132" s="338"/>
      <c r="D132" s="339"/>
      <c r="E132" s="108">
        <v>0</v>
      </c>
      <c r="F132" s="114">
        <f>F133</f>
        <v>0</v>
      </c>
      <c r="G132" s="32">
        <f>G133+G134</f>
        <v>119784</v>
      </c>
      <c r="H132" s="13"/>
      <c r="I132" s="13"/>
      <c r="J132" s="13"/>
      <c r="K132" s="83">
        <f t="shared" si="16"/>
        <v>119784</v>
      </c>
      <c r="L132" s="23">
        <f>L133+L134</f>
        <v>191010.8</v>
      </c>
      <c r="M132" s="120">
        <f t="shared" si="18"/>
        <v>-119784</v>
      </c>
      <c r="N132" s="125">
        <f t="shared" si="18"/>
        <v>-191010.8</v>
      </c>
      <c r="O132" s="26">
        <v>0</v>
      </c>
      <c r="P132" s="27">
        <v>0</v>
      </c>
      <c r="Q132" s="173"/>
      <c r="R132" s="173"/>
      <c r="S132" s="173"/>
    </row>
    <row r="133" spans="1:19" ht="21" customHeight="1" thickBot="1">
      <c r="A133" s="29" t="s">
        <v>187</v>
      </c>
      <c r="B133" s="390" t="s">
        <v>152</v>
      </c>
      <c r="C133" s="391"/>
      <c r="D133" s="392"/>
      <c r="E133" s="112"/>
      <c r="F133" s="108"/>
      <c r="G133" s="13">
        <v>119784</v>
      </c>
      <c r="H133" s="13"/>
      <c r="I133" s="13"/>
      <c r="J133" s="13"/>
      <c r="K133" s="84">
        <f t="shared" si="16"/>
        <v>119784</v>
      </c>
      <c r="L133" s="15">
        <f>71226.8+K133</f>
        <v>191010.8</v>
      </c>
      <c r="M133" s="119">
        <f t="shared" si="18"/>
        <v>-119784</v>
      </c>
      <c r="N133" s="124">
        <f t="shared" si="18"/>
        <v>-191010.8</v>
      </c>
      <c r="O133" s="31">
        <v>0</v>
      </c>
      <c r="P133" s="123">
        <v>0</v>
      </c>
      <c r="Q133" s="173"/>
      <c r="R133" s="173"/>
      <c r="S133" s="173"/>
    </row>
    <row r="134" spans="1:19" ht="29.25" customHeight="1" thickBot="1">
      <c r="A134" s="29" t="s">
        <v>188</v>
      </c>
      <c r="B134" s="340" t="s">
        <v>171</v>
      </c>
      <c r="C134" s="341"/>
      <c r="D134" s="342"/>
      <c r="E134" s="112"/>
      <c r="F134" s="108"/>
      <c r="G134" s="13"/>
      <c r="H134" s="13"/>
      <c r="I134" s="13"/>
      <c r="J134" s="13"/>
      <c r="K134" s="84">
        <f t="shared" si="16"/>
        <v>0</v>
      </c>
      <c r="L134" s="15">
        <f t="shared" si="17"/>
        <v>0</v>
      </c>
      <c r="M134" s="119">
        <f t="shared" si="18"/>
        <v>0</v>
      </c>
      <c r="N134" s="124">
        <f t="shared" si="18"/>
        <v>0</v>
      </c>
      <c r="O134" s="31">
        <v>0</v>
      </c>
      <c r="P134" s="123">
        <v>0</v>
      </c>
      <c r="Q134" s="173"/>
      <c r="R134" s="173"/>
      <c r="S134" s="173"/>
    </row>
    <row r="135" spans="1:19" ht="28.5" customHeight="1" thickBot="1">
      <c r="A135" s="41">
        <v>16</v>
      </c>
      <c r="B135" s="338" t="s">
        <v>138</v>
      </c>
      <c r="C135" s="338"/>
      <c r="D135" s="339"/>
      <c r="E135" s="108">
        <v>0</v>
      </c>
      <c r="F135" s="114">
        <f>F136</f>
        <v>0</v>
      </c>
      <c r="G135" s="32">
        <f>G136+G137</f>
        <v>150000</v>
      </c>
      <c r="H135" s="13"/>
      <c r="I135" s="13"/>
      <c r="J135" s="13"/>
      <c r="K135" s="83">
        <f t="shared" si="16"/>
        <v>150000</v>
      </c>
      <c r="L135" s="23">
        <f>357603+K135</f>
        <v>507603</v>
      </c>
      <c r="M135" s="120">
        <f t="shared" si="18"/>
        <v>-150000</v>
      </c>
      <c r="N135" s="125">
        <f t="shared" si="18"/>
        <v>-507603</v>
      </c>
      <c r="O135" s="26">
        <v>0</v>
      </c>
      <c r="P135" s="27">
        <v>0</v>
      </c>
      <c r="Q135" s="173"/>
      <c r="R135" s="173"/>
      <c r="S135" s="173"/>
    </row>
    <row r="136" spans="1:19" ht="20.25" customHeight="1" thickBot="1">
      <c r="A136" s="29" t="s">
        <v>189</v>
      </c>
      <c r="B136" s="390" t="s">
        <v>152</v>
      </c>
      <c r="C136" s="391"/>
      <c r="D136" s="392"/>
      <c r="E136" s="112"/>
      <c r="F136" s="108">
        <v>0</v>
      </c>
      <c r="G136" s="13">
        <v>150000</v>
      </c>
      <c r="H136" s="13"/>
      <c r="I136" s="13"/>
      <c r="J136" s="13"/>
      <c r="K136" s="84">
        <f t="shared" si="16"/>
        <v>150000</v>
      </c>
      <c r="L136" s="15">
        <f>357603+K136</f>
        <v>507603</v>
      </c>
      <c r="M136" s="119">
        <f t="shared" si="18"/>
        <v>-150000</v>
      </c>
      <c r="N136" s="124">
        <f t="shared" si="18"/>
        <v>-507603</v>
      </c>
      <c r="O136" s="31">
        <v>0</v>
      </c>
      <c r="P136" s="123">
        <v>0</v>
      </c>
      <c r="Q136" s="173"/>
      <c r="R136" s="173"/>
      <c r="S136" s="173"/>
    </row>
    <row r="137" spans="1:19" ht="26.25" customHeight="1" thickBot="1">
      <c r="A137" s="29" t="s">
        <v>190</v>
      </c>
      <c r="B137" s="340" t="s">
        <v>171</v>
      </c>
      <c r="C137" s="341"/>
      <c r="D137" s="342"/>
      <c r="E137" s="112"/>
      <c r="F137" s="108"/>
      <c r="G137" s="13"/>
      <c r="H137" s="13"/>
      <c r="I137" s="13"/>
      <c r="J137" s="13"/>
      <c r="K137" s="84">
        <f t="shared" si="16"/>
        <v>0</v>
      </c>
      <c r="L137" s="15">
        <f t="shared" si="17"/>
        <v>0</v>
      </c>
      <c r="M137" s="119">
        <f t="shared" si="18"/>
        <v>0</v>
      </c>
      <c r="N137" s="124">
        <f t="shared" si="18"/>
        <v>0</v>
      </c>
      <c r="O137" s="31">
        <v>0</v>
      </c>
      <c r="P137" s="123">
        <v>0</v>
      </c>
      <c r="Q137" s="173"/>
      <c r="R137" s="173"/>
      <c r="S137" s="173"/>
    </row>
    <row r="138" spans="1:19" ht="44.25" customHeight="1" thickBot="1">
      <c r="A138" s="40">
        <v>17</v>
      </c>
      <c r="B138" s="338" t="s">
        <v>139</v>
      </c>
      <c r="C138" s="338"/>
      <c r="D138" s="339"/>
      <c r="E138" s="114">
        <v>0</v>
      </c>
      <c r="F138" s="114"/>
      <c r="G138" s="32"/>
      <c r="H138" s="32"/>
      <c r="I138" s="32"/>
      <c r="J138" s="32"/>
      <c r="K138" s="83">
        <f t="shared" si="16"/>
        <v>0</v>
      </c>
      <c r="L138" s="23">
        <f t="shared" si="17"/>
        <v>0</v>
      </c>
      <c r="M138" s="120">
        <f t="shared" si="18"/>
        <v>0</v>
      </c>
      <c r="N138" s="125">
        <f t="shared" si="18"/>
        <v>0</v>
      </c>
      <c r="O138" s="26">
        <v>0</v>
      </c>
      <c r="P138" s="27">
        <v>0</v>
      </c>
      <c r="Q138" s="173"/>
      <c r="R138" s="173"/>
      <c r="S138" s="173"/>
    </row>
    <row r="139" spans="1:19" ht="27" customHeight="1" thickBot="1">
      <c r="A139" s="29" t="s">
        <v>191</v>
      </c>
      <c r="B139" s="340" t="s">
        <v>152</v>
      </c>
      <c r="C139" s="341"/>
      <c r="D139" s="342"/>
      <c r="E139" s="112"/>
      <c r="F139" s="108"/>
      <c r="G139" s="13"/>
      <c r="H139" s="13"/>
      <c r="I139" s="13"/>
      <c r="J139" s="13"/>
      <c r="K139" s="84">
        <f t="shared" si="16"/>
        <v>0</v>
      </c>
      <c r="L139" s="15">
        <f t="shared" si="17"/>
        <v>0</v>
      </c>
      <c r="M139" s="119">
        <f t="shared" si="18"/>
        <v>0</v>
      </c>
      <c r="N139" s="124">
        <f t="shared" si="18"/>
        <v>0</v>
      </c>
      <c r="O139" s="31">
        <v>0</v>
      </c>
      <c r="P139" s="123">
        <v>0</v>
      </c>
      <c r="Q139" s="173"/>
      <c r="R139" s="173"/>
      <c r="S139" s="173"/>
    </row>
    <row r="140" spans="1:19" ht="29.25" customHeight="1" thickBot="1">
      <c r="A140" s="29" t="s">
        <v>192</v>
      </c>
      <c r="B140" s="340" t="s">
        <v>171</v>
      </c>
      <c r="C140" s="341"/>
      <c r="D140" s="342"/>
      <c r="E140" s="112"/>
      <c r="F140" s="108"/>
      <c r="G140" s="13"/>
      <c r="H140" s="13"/>
      <c r="I140" s="13"/>
      <c r="J140" s="13"/>
      <c r="K140" s="84">
        <f t="shared" si="16"/>
        <v>0</v>
      </c>
      <c r="L140" s="15">
        <f t="shared" si="17"/>
        <v>0</v>
      </c>
      <c r="M140" s="119">
        <f t="shared" si="18"/>
        <v>0</v>
      </c>
      <c r="N140" s="124">
        <f t="shared" si="18"/>
        <v>0</v>
      </c>
      <c r="O140" s="31">
        <v>0</v>
      </c>
      <c r="P140" s="123">
        <v>0</v>
      </c>
      <c r="Q140" s="173"/>
      <c r="R140" s="173"/>
      <c r="S140" s="173"/>
    </row>
    <row r="141" spans="1:19" ht="22.5" customHeight="1" thickBot="1">
      <c r="A141" s="40">
        <v>18</v>
      </c>
      <c r="B141" s="323" t="s">
        <v>140</v>
      </c>
      <c r="C141" s="323"/>
      <c r="D141" s="324"/>
      <c r="E141" s="108">
        <v>0</v>
      </c>
      <c r="F141" s="108"/>
      <c r="G141" s="13"/>
      <c r="H141" s="13"/>
      <c r="I141" s="13"/>
      <c r="J141" s="32"/>
      <c r="K141" s="83">
        <f>J141</f>
        <v>0</v>
      </c>
      <c r="L141" s="23">
        <f>967479.82+K141</f>
        <v>967479.82</v>
      </c>
      <c r="M141" s="120">
        <f t="shared" si="18"/>
        <v>0</v>
      </c>
      <c r="N141" s="125">
        <f t="shared" si="18"/>
        <v>-967479.82</v>
      </c>
      <c r="O141" s="26">
        <v>0</v>
      </c>
      <c r="P141" s="27">
        <v>0</v>
      </c>
      <c r="Q141" s="173"/>
      <c r="R141" s="173"/>
      <c r="S141" s="173"/>
    </row>
    <row r="142" spans="1:19" ht="60.75" thickBot="1">
      <c r="A142" s="43"/>
      <c r="B142" s="328" t="s">
        <v>141</v>
      </c>
      <c r="C142" s="328"/>
      <c r="D142" s="328"/>
      <c r="E142" s="328"/>
      <c r="F142" s="208"/>
      <c r="G142" s="208" t="s">
        <v>4</v>
      </c>
      <c r="H142" s="260" t="s">
        <v>5</v>
      </c>
      <c r="I142" s="532" t="s">
        <v>6</v>
      </c>
      <c r="J142" s="533"/>
      <c r="K142" s="176" t="s">
        <v>11</v>
      </c>
      <c r="L142" s="175" t="s">
        <v>8</v>
      </c>
      <c r="M142" s="175" t="s">
        <v>9</v>
      </c>
      <c r="N142" s="210" t="s">
        <v>10</v>
      </c>
      <c r="O142" s="211"/>
      <c r="P142" s="261"/>
      <c r="Q142" s="173"/>
      <c r="R142" s="173"/>
      <c r="S142" s="173"/>
    </row>
    <row r="143" spans="1:19" ht="23.25" customHeight="1" thickBot="1">
      <c r="A143" s="42"/>
      <c r="B143" s="328" t="s">
        <v>12</v>
      </c>
      <c r="C143" s="328"/>
      <c r="D143" s="328"/>
      <c r="E143" s="329"/>
      <c r="F143" s="47"/>
      <c r="G143" s="47">
        <v>0</v>
      </c>
      <c r="H143" s="3">
        <v>0</v>
      </c>
      <c r="I143" s="330">
        <v>0</v>
      </c>
      <c r="J143" s="331"/>
      <c r="K143" s="86"/>
      <c r="L143" s="3">
        <v>0</v>
      </c>
      <c r="M143" s="252">
        <v>0</v>
      </c>
      <c r="N143" s="252">
        <v>0</v>
      </c>
      <c r="O143" s="3"/>
      <c r="P143" s="3">
        <v>0</v>
      </c>
      <c r="Q143" s="173"/>
      <c r="R143" s="173"/>
      <c r="S143" s="173"/>
    </row>
    <row r="144" spans="1:19" ht="27" customHeight="1" thickBot="1">
      <c r="A144" s="43"/>
      <c r="B144" s="328" t="s">
        <v>13</v>
      </c>
      <c r="C144" s="328"/>
      <c r="D144" s="328"/>
      <c r="E144" s="329"/>
      <c r="F144" s="3"/>
      <c r="G144" s="3">
        <f>F10+G17-G32-G36-G40-G45-G55-G65-G68-G72-G75-G79-G89-G102-G133-G136-G139</f>
        <v>50327.96999999997</v>
      </c>
      <c r="H144" s="3">
        <f>G18+H10-H29</f>
        <v>258842.17999999993</v>
      </c>
      <c r="I144" s="330">
        <f>I10+G19-I104-I66-I97-I76</f>
        <v>8149</v>
      </c>
      <c r="J144" s="331"/>
      <c r="K144" s="86">
        <f>O10+G22-J54</f>
        <v>25261.9</v>
      </c>
      <c r="L144" s="3">
        <f>L10+G23-J141</f>
        <v>-2232.87</v>
      </c>
      <c r="M144" s="252">
        <v>0</v>
      </c>
      <c r="N144" s="3">
        <v>0</v>
      </c>
      <c r="O144" s="48"/>
      <c r="P144" s="3">
        <f>SUM(G144:O144)</f>
        <v>340348.17999999993</v>
      </c>
      <c r="Q144" s="173"/>
      <c r="R144" s="196">
        <f>P5+L16-L29</f>
        <v>340348.1799999997</v>
      </c>
      <c r="S144" s="18"/>
    </row>
    <row r="145" spans="1:19" ht="24.75" customHeight="1" thickBot="1">
      <c r="A145" s="49"/>
      <c r="B145" s="524" t="s">
        <v>239</v>
      </c>
      <c r="C145" s="524"/>
      <c r="D145" s="524"/>
      <c r="E145" s="525"/>
      <c r="F145" s="346"/>
      <c r="G145" s="346"/>
      <c r="H145" s="346"/>
      <c r="I145" s="346"/>
      <c r="J145" s="346"/>
      <c r="K145" s="346"/>
      <c r="L145" s="346"/>
      <c r="M145" s="346"/>
      <c r="N145" s="347"/>
      <c r="O145" s="348"/>
      <c r="P145" s="50">
        <f>P144</f>
        <v>340348.17999999993</v>
      </c>
      <c r="Q145" s="173"/>
      <c r="R145" s="18"/>
      <c r="S145" s="18"/>
    </row>
    <row r="146" spans="1:19" ht="15">
      <c r="A146" s="173"/>
      <c r="B146" s="213"/>
      <c r="C146" s="213"/>
      <c r="D146" s="213"/>
      <c r="E146" s="213"/>
      <c r="F146" s="52"/>
      <c r="G146" s="52"/>
      <c r="H146" s="52"/>
      <c r="I146" s="52"/>
      <c r="J146" s="52"/>
      <c r="K146" s="87"/>
      <c r="L146" s="52"/>
      <c r="M146" s="52"/>
      <c r="N146" s="52"/>
      <c r="O146" s="53"/>
      <c r="P146" s="54"/>
      <c r="Q146" s="173"/>
      <c r="R146" s="18"/>
      <c r="S146" s="173"/>
    </row>
    <row r="147" spans="1:19" ht="15">
      <c r="A147" s="173"/>
      <c r="B147" s="343" t="s">
        <v>142</v>
      </c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9" t="s">
        <v>143</v>
      </c>
      <c r="P147" s="349"/>
      <c r="Q147" s="173"/>
      <c r="R147" s="196"/>
      <c r="S147" s="18"/>
    </row>
    <row r="148" spans="1:19" ht="15">
      <c r="A148" s="173"/>
      <c r="B148" s="343" t="s">
        <v>144</v>
      </c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 t="s">
        <v>145</v>
      </c>
      <c r="P148" s="343"/>
      <c r="Q148" s="173"/>
      <c r="R148" s="173"/>
      <c r="S148" s="173"/>
    </row>
    <row r="149" spans="1:19" ht="15">
      <c r="A149" s="173"/>
      <c r="B149" s="258"/>
      <c r="C149" s="258"/>
      <c r="D149" s="258"/>
      <c r="E149" s="258"/>
      <c r="F149" s="258"/>
      <c r="G149" s="258"/>
      <c r="H149" s="258"/>
      <c r="I149" s="258"/>
      <c r="J149" s="55"/>
      <c r="K149" s="88"/>
      <c r="L149" s="55"/>
      <c r="M149" s="258"/>
      <c r="N149" s="258"/>
      <c r="O149" s="258"/>
      <c r="P149" s="55"/>
      <c r="Q149" s="173"/>
      <c r="R149" s="18"/>
      <c r="S149" s="173"/>
    </row>
    <row r="151" spans="1:19" ht="15">
      <c r="A151" s="173"/>
      <c r="B151" s="173"/>
      <c r="C151" s="173"/>
      <c r="D151" s="173"/>
      <c r="E151" s="173"/>
      <c r="F151" s="173"/>
      <c r="G151" s="173"/>
      <c r="H151" s="173"/>
      <c r="I151" s="250"/>
      <c r="J151" s="173"/>
      <c r="K151" s="173"/>
      <c r="L151" s="173"/>
      <c r="M151" s="173"/>
      <c r="N151" s="173"/>
      <c r="O151" s="173"/>
      <c r="P151" s="173"/>
      <c r="Q151" s="173"/>
      <c r="R151" s="18"/>
      <c r="S151" s="173"/>
    </row>
    <row r="152" spans="1:19" ht="15">
      <c r="A152" s="173"/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8"/>
      <c r="S152" s="173"/>
    </row>
    <row r="153" spans="1:19" ht="15">
      <c r="A153" s="173"/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8"/>
      <c r="O153" s="173"/>
      <c r="P153" s="173"/>
      <c r="Q153" s="173"/>
      <c r="R153" s="173"/>
      <c r="S153" s="173"/>
    </row>
    <row r="154" spans="12:16" ht="15">
      <c r="L154" s="173"/>
      <c r="M154" s="173"/>
      <c r="N154" s="18"/>
      <c r="O154" s="173"/>
      <c r="P154" s="18"/>
    </row>
    <row r="155" spans="12:16" ht="15">
      <c r="L155" s="173"/>
      <c r="M155" s="173"/>
      <c r="N155" s="214"/>
      <c r="O155" s="173"/>
      <c r="P155" s="18"/>
    </row>
    <row r="156" spans="12:16" ht="15">
      <c r="L156" s="18"/>
      <c r="M156" s="173"/>
      <c r="N156" s="173"/>
      <c r="O156" s="173"/>
      <c r="P156" s="173"/>
    </row>
    <row r="157" spans="12:16" ht="15">
      <c r="L157" s="18"/>
      <c r="M157" s="18"/>
      <c r="N157" s="173"/>
      <c r="O157" s="173"/>
      <c r="P157" s="173"/>
    </row>
  </sheetData>
  <sheetProtection/>
  <mergeCells count="200">
    <mergeCell ref="B145:E145"/>
    <mergeCell ref="F145:O145"/>
    <mergeCell ref="B147:E147"/>
    <mergeCell ref="F147:N147"/>
    <mergeCell ref="O147:P147"/>
    <mergeCell ref="B148:E148"/>
    <mergeCell ref="F148:N148"/>
    <mergeCell ref="O148:P148"/>
    <mergeCell ref="B142:E142"/>
    <mergeCell ref="I142:J142"/>
    <mergeCell ref="B143:E143"/>
    <mergeCell ref="I143:J143"/>
    <mergeCell ref="B144:E144"/>
    <mergeCell ref="I144:J144"/>
    <mergeCell ref="B136:D136"/>
    <mergeCell ref="B137:D137"/>
    <mergeCell ref="B138:D138"/>
    <mergeCell ref="B139:D139"/>
    <mergeCell ref="B140:D140"/>
    <mergeCell ref="B141:D141"/>
    <mergeCell ref="B130:D130"/>
    <mergeCell ref="B131:D131"/>
    <mergeCell ref="B132:D132"/>
    <mergeCell ref="B133:D133"/>
    <mergeCell ref="B134:D134"/>
    <mergeCell ref="B135:D135"/>
    <mergeCell ref="P123:P124"/>
    <mergeCell ref="B125:D125"/>
    <mergeCell ref="B126:D126"/>
    <mergeCell ref="B127:D127"/>
    <mergeCell ref="B128:D128"/>
    <mergeCell ref="B129:D129"/>
    <mergeCell ref="B120:D120"/>
    <mergeCell ref="B121:P122"/>
    <mergeCell ref="B123:D124"/>
    <mergeCell ref="E123:E124"/>
    <mergeCell ref="F123:F124"/>
    <mergeCell ref="G123:K123"/>
    <mergeCell ref="L123:L124"/>
    <mergeCell ref="M123:M124"/>
    <mergeCell ref="N123:N124"/>
    <mergeCell ref="O123:O124"/>
    <mergeCell ref="B114:D114"/>
    <mergeCell ref="B115:D115"/>
    <mergeCell ref="B116:D116"/>
    <mergeCell ref="B117:D117"/>
    <mergeCell ref="B118:D118"/>
    <mergeCell ref="B119:D119"/>
    <mergeCell ref="B108:D108"/>
    <mergeCell ref="B109:D109"/>
    <mergeCell ref="B110:D110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96:D96"/>
    <mergeCell ref="B97:D97"/>
    <mergeCell ref="B98:D98"/>
    <mergeCell ref="B99:D99"/>
    <mergeCell ref="B100:D100"/>
    <mergeCell ref="B101:D101"/>
    <mergeCell ref="B90:D90"/>
    <mergeCell ref="B91:D91"/>
    <mergeCell ref="B92:D92"/>
    <mergeCell ref="B93:D93"/>
    <mergeCell ref="B94:D94"/>
    <mergeCell ref="B95:D95"/>
    <mergeCell ref="N85:N86"/>
    <mergeCell ref="O85:O86"/>
    <mergeCell ref="P85:P86"/>
    <mergeCell ref="B87:D87"/>
    <mergeCell ref="B88:D88"/>
    <mergeCell ref="B89:D89"/>
    <mergeCell ref="B81:D81"/>
    <mergeCell ref="A83:A84"/>
    <mergeCell ref="B83:P84"/>
    <mergeCell ref="A85:A86"/>
    <mergeCell ref="B85:D86"/>
    <mergeCell ref="E85:E86"/>
    <mergeCell ref="F85:F86"/>
    <mergeCell ref="G85:K85"/>
    <mergeCell ref="L85:L86"/>
    <mergeCell ref="M85:M86"/>
    <mergeCell ref="B74:D74"/>
    <mergeCell ref="B75:D75"/>
    <mergeCell ref="B76:D76"/>
    <mergeCell ref="B78:D78"/>
    <mergeCell ref="B79:D79"/>
    <mergeCell ref="B80:D80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49:D49"/>
    <mergeCell ref="B50:D50"/>
    <mergeCell ref="B51:D51"/>
    <mergeCell ref="B52:D52"/>
    <mergeCell ref="B54:D54"/>
    <mergeCell ref="B55:D55"/>
    <mergeCell ref="B42:D42"/>
    <mergeCell ref="B43:D43"/>
    <mergeCell ref="B44:D44"/>
    <mergeCell ref="B45:D45"/>
    <mergeCell ref="B46:D46"/>
    <mergeCell ref="B48:D48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M26:M27"/>
    <mergeCell ref="N26:N27"/>
    <mergeCell ref="O26:O27"/>
    <mergeCell ref="P26:P27"/>
    <mergeCell ref="B28:D28"/>
    <mergeCell ref="B29:D29"/>
    <mergeCell ref="B23:D23"/>
    <mergeCell ref="G23:J23"/>
    <mergeCell ref="A24:A25"/>
    <mergeCell ref="B24:P25"/>
    <mergeCell ref="A26:A27"/>
    <mergeCell ref="B26:D27"/>
    <mergeCell ref="E26:E27"/>
    <mergeCell ref="F26:F27"/>
    <mergeCell ref="G26:K26"/>
    <mergeCell ref="L26:L27"/>
    <mergeCell ref="B20:D20"/>
    <mergeCell ref="G20:J20"/>
    <mergeCell ref="B21:D21"/>
    <mergeCell ref="G21:J21"/>
    <mergeCell ref="B22:D22"/>
    <mergeCell ref="G22:J22"/>
    <mergeCell ref="B17:D17"/>
    <mergeCell ref="G17:J17"/>
    <mergeCell ref="B18:D18"/>
    <mergeCell ref="G18:J18"/>
    <mergeCell ref="B19:D19"/>
    <mergeCell ref="G19:J19"/>
    <mergeCell ref="P12:P13"/>
    <mergeCell ref="B14:D14"/>
    <mergeCell ref="G14:J14"/>
    <mergeCell ref="A15:A16"/>
    <mergeCell ref="B15:D16"/>
    <mergeCell ref="G15:J15"/>
    <mergeCell ref="G16:J16"/>
    <mergeCell ref="B11:E11"/>
    <mergeCell ref="F11:P11"/>
    <mergeCell ref="A12:A13"/>
    <mergeCell ref="B12:E13"/>
    <mergeCell ref="F12:F13"/>
    <mergeCell ref="G12:K13"/>
    <mergeCell ref="L12:L13"/>
    <mergeCell ref="M12:M13"/>
    <mergeCell ref="N12:N13"/>
    <mergeCell ref="O12:O13"/>
    <mergeCell ref="B10:E10"/>
    <mergeCell ref="F10:G10"/>
    <mergeCell ref="I10:J10"/>
    <mergeCell ref="B6:E6"/>
    <mergeCell ref="F6:O6"/>
    <mergeCell ref="B7:E7"/>
    <mergeCell ref="F7:P7"/>
    <mergeCell ref="B8:E8"/>
    <mergeCell ref="F8:G8"/>
    <mergeCell ref="I8:J8"/>
    <mergeCell ref="B1:P1"/>
    <mergeCell ref="B2:P2"/>
    <mergeCell ref="B3:P3"/>
    <mergeCell ref="B4:P4"/>
    <mergeCell ref="B5:E5"/>
    <mergeCell ref="F5:O5"/>
    <mergeCell ref="B9:E9"/>
    <mergeCell ref="F9:G9"/>
    <mergeCell ref="I9:J9"/>
  </mergeCells>
  <printOptions/>
  <pageMargins left="0.31496062992125984" right="0" top="0.37" bottom="0.21" header="0.21" footer="0.28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57"/>
  <sheetViews>
    <sheetView zoomScalePageLayoutView="0" workbookViewId="0" topLeftCell="A88">
      <selection activeCell="F75" sqref="F75"/>
    </sheetView>
  </sheetViews>
  <sheetFormatPr defaultColWidth="9.140625" defaultRowHeight="15"/>
  <cols>
    <col min="1" max="1" width="4.140625" style="174" customWidth="1"/>
    <col min="2" max="3" width="9.140625" style="174" customWidth="1"/>
    <col min="4" max="4" width="9.28125" style="174" customWidth="1"/>
    <col min="5" max="5" width="12.28125" style="174" customWidth="1"/>
    <col min="6" max="6" width="14.00390625" style="174" customWidth="1"/>
    <col min="7" max="7" width="12.421875" style="174" customWidth="1"/>
    <col min="8" max="8" width="11.8515625" style="174" customWidth="1"/>
    <col min="9" max="9" width="9.57421875" style="174" customWidth="1"/>
    <col min="10" max="10" width="11.421875" style="174" customWidth="1"/>
    <col min="11" max="11" width="13.00390625" style="174" customWidth="1"/>
    <col min="12" max="12" width="14.8515625" style="174" customWidth="1"/>
    <col min="13" max="13" width="13.421875" style="174" customWidth="1"/>
    <col min="14" max="14" width="14.28125" style="174" customWidth="1"/>
    <col min="15" max="15" width="8.421875" style="174" customWidth="1"/>
    <col min="16" max="16" width="10.421875" style="174" customWidth="1"/>
    <col min="17" max="17" width="9.140625" style="174" customWidth="1"/>
    <col min="18" max="18" width="10.421875" style="174" bestFit="1" customWidth="1"/>
    <col min="19" max="19" width="11.140625" style="174" bestFit="1" customWidth="1"/>
    <col min="20" max="16384" width="9.140625" style="174" customWidth="1"/>
  </cols>
  <sheetData>
    <row r="1" spans="1:16" ht="15">
      <c r="A1" s="173"/>
      <c r="B1" s="485" t="s">
        <v>0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</row>
    <row r="2" spans="1:16" ht="15">
      <c r="A2" s="173"/>
      <c r="B2" s="520" t="s">
        <v>240</v>
      </c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</row>
    <row r="3" spans="1:16" ht="15.75" thickBot="1">
      <c r="A3" s="173"/>
      <c r="B3" s="521" t="s">
        <v>1</v>
      </c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</row>
    <row r="4" spans="1:16" ht="15.75" thickBot="1">
      <c r="A4" s="173"/>
      <c r="B4" s="522" t="s">
        <v>2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</row>
    <row r="5" spans="1:16" ht="15.75" thickBot="1">
      <c r="A5" s="2"/>
      <c r="B5" s="523" t="s">
        <v>193</v>
      </c>
      <c r="C5" s="524"/>
      <c r="D5" s="524"/>
      <c r="E5" s="525"/>
      <c r="F5" s="346"/>
      <c r="G5" s="346"/>
      <c r="H5" s="346"/>
      <c r="I5" s="346"/>
      <c r="J5" s="346"/>
      <c r="K5" s="346"/>
      <c r="L5" s="346"/>
      <c r="M5" s="346"/>
      <c r="N5" s="346"/>
      <c r="O5" s="489"/>
      <c r="P5" s="3">
        <v>365352.15</v>
      </c>
    </row>
    <row r="6" spans="1:16" ht="15.75" thickBot="1">
      <c r="A6" s="2"/>
      <c r="B6" s="523" t="s">
        <v>241</v>
      </c>
      <c r="C6" s="524"/>
      <c r="D6" s="524"/>
      <c r="E6" s="525"/>
      <c r="F6" s="346"/>
      <c r="G6" s="346"/>
      <c r="H6" s="346"/>
      <c r="I6" s="346"/>
      <c r="J6" s="346"/>
      <c r="K6" s="346"/>
      <c r="L6" s="346"/>
      <c r="M6" s="346"/>
      <c r="N6" s="346"/>
      <c r="O6" s="489"/>
      <c r="P6" s="266">
        <f>P10</f>
        <v>340348.18000000005</v>
      </c>
    </row>
    <row r="7" spans="1:16" ht="15.75" thickBot="1">
      <c r="A7" s="2"/>
      <c r="B7" s="526"/>
      <c r="C7" s="527"/>
      <c r="D7" s="527"/>
      <c r="E7" s="528"/>
      <c r="F7" s="529"/>
      <c r="G7" s="529"/>
      <c r="H7" s="529"/>
      <c r="I7" s="529"/>
      <c r="J7" s="529"/>
      <c r="K7" s="529"/>
      <c r="L7" s="529"/>
      <c r="M7" s="529"/>
      <c r="N7" s="530"/>
      <c r="O7" s="530"/>
      <c r="P7" s="531"/>
    </row>
    <row r="8" spans="1:16" ht="75.75" thickBot="1">
      <c r="A8" s="4"/>
      <c r="B8" s="523" t="s">
        <v>3</v>
      </c>
      <c r="C8" s="524"/>
      <c r="D8" s="524"/>
      <c r="E8" s="525"/>
      <c r="F8" s="532" t="s">
        <v>4</v>
      </c>
      <c r="G8" s="533"/>
      <c r="H8" s="175" t="s">
        <v>5</v>
      </c>
      <c r="I8" s="532" t="s">
        <v>6</v>
      </c>
      <c r="J8" s="533"/>
      <c r="K8" s="176" t="s">
        <v>7</v>
      </c>
      <c r="L8" s="175" t="s">
        <v>8</v>
      </c>
      <c r="M8" s="274" t="s">
        <v>9</v>
      </c>
      <c r="N8" s="272" t="s">
        <v>10</v>
      </c>
      <c r="O8" s="178" t="s">
        <v>11</v>
      </c>
      <c r="P8" s="179"/>
    </row>
    <row r="9" spans="1:16" ht="21.75" customHeight="1" thickBot="1">
      <c r="A9" s="2"/>
      <c r="B9" s="490" t="s">
        <v>12</v>
      </c>
      <c r="C9" s="491"/>
      <c r="D9" s="491"/>
      <c r="E9" s="492"/>
      <c r="F9" s="330">
        <v>0</v>
      </c>
      <c r="G9" s="331"/>
      <c r="H9" s="3">
        <v>0</v>
      </c>
      <c r="I9" s="330">
        <v>0</v>
      </c>
      <c r="J9" s="331"/>
      <c r="K9" s="78">
        <v>0</v>
      </c>
      <c r="L9" s="3">
        <v>0</v>
      </c>
      <c r="M9" s="265">
        <v>0</v>
      </c>
      <c r="N9" s="3">
        <v>0</v>
      </c>
      <c r="O9" s="75">
        <v>0</v>
      </c>
      <c r="P9" s="266">
        <v>0</v>
      </c>
    </row>
    <row r="10" spans="1:16" ht="24" customHeight="1" thickBot="1">
      <c r="A10" s="2"/>
      <c r="B10" s="490" t="s">
        <v>13</v>
      </c>
      <c r="C10" s="491"/>
      <c r="D10" s="491"/>
      <c r="E10" s="492"/>
      <c r="F10" s="330">
        <v>50327.97</v>
      </c>
      <c r="G10" s="331"/>
      <c r="H10" s="3">
        <v>258842.18</v>
      </c>
      <c r="I10" s="330">
        <v>8149</v>
      </c>
      <c r="J10" s="331"/>
      <c r="K10" s="78">
        <v>0</v>
      </c>
      <c r="L10" s="3">
        <v>-2232.87</v>
      </c>
      <c r="M10" s="265">
        <v>0</v>
      </c>
      <c r="N10" s="3">
        <v>0</v>
      </c>
      <c r="O10" s="3">
        <v>25261.9</v>
      </c>
      <c r="P10" s="266">
        <f>SUM(F10:O10)</f>
        <v>340348.18000000005</v>
      </c>
    </row>
    <row r="11" spans="1:16" ht="15.75" thickBot="1">
      <c r="A11" s="268"/>
      <c r="B11" s="546"/>
      <c r="C11" s="547"/>
      <c r="D11" s="547"/>
      <c r="E11" s="547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9"/>
    </row>
    <row r="12" spans="1:16" ht="15">
      <c r="A12" s="446"/>
      <c r="B12" s="550" t="s">
        <v>14</v>
      </c>
      <c r="C12" s="551"/>
      <c r="D12" s="551"/>
      <c r="E12" s="552"/>
      <c r="F12" s="534"/>
      <c r="G12" s="556" t="s">
        <v>15</v>
      </c>
      <c r="H12" s="548"/>
      <c r="I12" s="548"/>
      <c r="J12" s="548"/>
      <c r="K12" s="549"/>
      <c r="L12" s="534" t="s">
        <v>16</v>
      </c>
      <c r="M12" s="534" t="s">
        <v>17</v>
      </c>
      <c r="N12" s="534" t="s">
        <v>18</v>
      </c>
      <c r="O12" s="534" t="s">
        <v>19</v>
      </c>
      <c r="P12" s="534" t="s">
        <v>20</v>
      </c>
    </row>
    <row r="13" spans="1:16" ht="28.5" customHeight="1" thickBot="1">
      <c r="A13" s="447"/>
      <c r="B13" s="553"/>
      <c r="C13" s="554"/>
      <c r="D13" s="554"/>
      <c r="E13" s="555"/>
      <c r="F13" s="535"/>
      <c r="G13" s="557"/>
      <c r="H13" s="558"/>
      <c r="I13" s="558"/>
      <c r="J13" s="558"/>
      <c r="K13" s="559"/>
      <c r="L13" s="535"/>
      <c r="M13" s="535"/>
      <c r="N13" s="535"/>
      <c r="O13" s="535"/>
      <c r="P13" s="535"/>
    </row>
    <row r="14" spans="1:16" ht="15.75" thickBot="1">
      <c r="A14" s="2"/>
      <c r="B14" s="536" t="s">
        <v>21</v>
      </c>
      <c r="C14" s="537"/>
      <c r="D14" s="538"/>
      <c r="E14" s="180" t="s">
        <v>22</v>
      </c>
      <c r="F14" s="278">
        <v>3</v>
      </c>
      <c r="G14" s="539">
        <v>4</v>
      </c>
      <c r="H14" s="529"/>
      <c r="I14" s="529"/>
      <c r="J14" s="531"/>
      <c r="K14" s="182">
        <v>5</v>
      </c>
      <c r="L14" s="277">
        <v>6</v>
      </c>
      <c r="M14" s="175">
        <v>7</v>
      </c>
      <c r="N14" s="277">
        <v>8</v>
      </c>
      <c r="O14" s="277">
        <v>9</v>
      </c>
      <c r="P14" s="175">
        <v>10</v>
      </c>
    </row>
    <row r="15" spans="1:16" ht="29.25" thickBot="1">
      <c r="A15" s="446"/>
      <c r="B15" s="540" t="s">
        <v>23</v>
      </c>
      <c r="C15" s="541"/>
      <c r="D15" s="542"/>
      <c r="E15" s="8" t="s">
        <v>24</v>
      </c>
      <c r="F15" s="8" t="s">
        <v>25</v>
      </c>
      <c r="G15" s="471" t="s">
        <v>26</v>
      </c>
      <c r="H15" s="472"/>
      <c r="I15" s="472"/>
      <c r="J15" s="473"/>
      <c r="K15" s="79" t="s">
        <v>27</v>
      </c>
      <c r="L15" s="9" t="s">
        <v>26</v>
      </c>
      <c r="M15" s="10" t="s">
        <v>28</v>
      </c>
      <c r="N15" s="10" t="s">
        <v>26</v>
      </c>
      <c r="O15" s="10" t="s">
        <v>26</v>
      </c>
      <c r="P15" s="11" t="s">
        <v>26</v>
      </c>
    </row>
    <row r="16" spans="1:16" ht="24.75" customHeight="1" thickBot="1">
      <c r="A16" s="447"/>
      <c r="B16" s="543"/>
      <c r="C16" s="544"/>
      <c r="D16" s="545"/>
      <c r="E16" s="109">
        <f>SUM(E17:E23)</f>
        <v>406619</v>
      </c>
      <c r="F16" s="110">
        <f>SUM(F17:F23)</f>
        <v>11593328</v>
      </c>
      <c r="G16" s="474">
        <f>G17+G18+G19+G20+G21+G22+G23</f>
        <v>117963.44</v>
      </c>
      <c r="H16" s="475"/>
      <c r="I16" s="475"/>
      <c r="J16" s="476"/>
      <c r="K16" s="271">
        <f>SUM(K17:K23)</f>
        <v>117963.44</v>
      </c>
      <c r="L16" s="271">
        <f>SUM(L17:L23)</f>
        <v>12234199.979999999</v>
      </c>
      <c r="M16" s="271">
        <f>SUM(M17:M23)</f>
        <v>288655.56</v>
      </c>
      <c r="N16" s="271">
        <f>SUM(N17:N23)</f>
        <v>-640871.9799999995</v>
      </c>
      <c r="O16" s="12">
        <v>0</v>
      </c>
      <c r="P16" s="12">
        <v>0</v>
      </c>
    </row>
    <row r="17" spans="1:18" ht="36.75" customHeight="1" thickBot="1">
      <c r="A17" s="184" t="s">
        <v>195</v>
      </c>
      <c r="B17" s="497" t="s">
        <v>146</v>
      </c>
      <c r="C17" s="498"/>
      <c r="D17" s="499"/>
      <c r="E17" s="108">
        <v>118711</v>
      </c>
      <c r="F17" s="108">
        <f>7042437+E17</f>
        <v>7161148</v>
      </c>
      <c r="G17" s="450">
        <v>90918.67</v>
      </c>
      <c r="H17" s="451"/>
      <c r="I17" s="451"/>
      <c r="J17" s="452"/>
      <c r="K17" s="270">
        <f aca="true" t="shared" si="0" ref="K17:K22">G17</f>
        <v>90918.67</v>
      </c>
      <c r="L17" s="15">
        <f>6651482.25+K17</f>
        <v>6742400.92</v>
      </c>
      <c r="M17" s="119">
        <f>E17-K17</f>
        <v>27792.33</v>
      </c>
      <c r="N17" s="124">
        <f>F17-L17</f>
        <v>418747.0800000001</v>
      </c>
      <c r="O17" s="16">
        <v>0</v>
      </c>
      <c r="P17" s="16">
        <v>0</v>
      </c>
      <c r="Q17" s="173"/>
      <c r="R17" s="18">
        <v>365352.1499999948</v>
      </c>
    </row>
    <row r="18" spans="1:18" ht="35.25" customHeight="1" thickBot="1">
      <c r="A18" s="185" t="s">
        <v>196</v>
      </c>
      <c r="B18" s="566" t="s">
        <v>216</v>
      </c>
      <c r="C18" s="567"/>
      <c r="D18" s="568"/>
      <c r="E18" s="104">
        <v>285308</v>
      </c>
      <c r="F18" s="108">
        <f>4088072+E18</f>
        <v>4373380</v>
      </c>
      <c r="G18" s="450"/>
      <c r="H18" s="451"/>
      <c r="I18" s="451"/>
      <c r="J18" s="452"/>
      <c r="K18" s="270">
        <f t="shared" si="0"/>
        <v>0</v>
      </c>
      <c r="L18" s="15">
        <f>4463701.1+K18</f>
        <v>4463701.1</v>
      </c>
      <c r="M18" s="119">
        <f>E18-K18</f>
        <v>285308</v>
      </c>
      <c r="N18" s="124">
        <f>F18-L18</f>
        <v>-90321.09999999963</v>
      </c>
      <c r="O18" s="16">
        <v>0</v>
      </c>
      <c r="P18" s="16">
        <v>0</v>
      </c>
      <c r="Q18" s="173"/>
      <c r="R18" s="173"/>
    </row>
    <row r="19" spans="1:18" ht="27" customHeight="1" thickBot="1">
      <c r="A19" s="185" t="s">
        <v>197</v>
      </c>
      <c r="B19" s="569" t="s">
        <v>149</v>
      </c>
      <c r="C19" s="570"/>
      <c r="D19" s="571"/>
      <c r="E19" s="186"/>
      <c r="F19" s="108">
        <f>0+E19</f>
        <v>0</v>
      </c>
      <c r="G19" s="450">
        <v>18000</v>
      </c>
      <c r="H19" s="451"/>
      <c r="I19" s="451"/>
      <c r="J19" s="452"/>
      <c r="K19" s="270">
        <f t="shared" si="0"/>
        <v>18000</v>
      </c>
      <c r="L19" s="15">
        <f>122320+K19</f>
        <v>140320</v>
      </c>
      <c r="M19" s="119">
        <f aca="true" t="shared" si="1" ref="M19:N23">E19-K19</f>
        <v>-18000</v>
      </c>
      <c r="N19" s="124">
        <f t="shared" si="1"/>
        <v>-140320</v>
      </c>
      <c r="O19" s="16">
        <v>0</v>
      </c>
      <c r="P19" s="17">
        <v>0</v>
      </c>
      <c r="Q19" s="173"/>
      <c r="R19" s="173"/>
    </row>
    <row r="20" spans="1:18" ht="47.25" customHeight="1" thickBot="1">
      <c r="A20" s="187" t="s">
        <v>198</v>
      </c>
      <c r="B20" s="560" t="s">
        <v>147</v>
      </c>
      <c r="C20" s="561"/>
      <c r="D20" s="562"/>
      <c r="E20" s="188"/>
      <c r="F20" s="108">
        <f>0+E20</f>
        <v>0</v>
      </c>
      <c r="G20" s="450"/>
      <c r="H20" s="451"/>
      <c r="I20" s="451"/>
      <c r="J20" s="452"/>
      <c r="K20" s="270">
        <f t="shared" si="0"/>
        <v>0</v>
      </c>
      <c r="L20" s="15">
        <f>0+K20</f>
        <v>0</v>
      </c>
      <c r="M20" s="119">
        <f t="shared" si="1"/>
        <v>0</v>
      </c>
      <c r="N20" s="124">
        <f t="shared" si="1"/>
        <v>0</v>
      </c>
      <c r="O20" s="16">
        <v>0</v>
      </c>
      <c r="P20" s="16">
        <v>0</v>
      </c>
      <c r="Q20" s="18"/>
      <c r="R20" s="18"/>
    </row>
    <row r="21" spans="1:18" ht="24.75" customHeight="1" thickBot="1">
      <c r="A21" s="189" t="s">
        <v>199</v>
      </c>
      <c r="B21" s="563" t="s">
        <v>148</v>
      </c>
      <c r="C21" s="564"/>
      <c r="D21" s="565"/>
      <c r="E21" s="190"/>
      <c r="F21" s="108">
        <f>0+E21</f>
        <v>0</v>
      </c>
      <c r="G21" s="450"/>
      <c r="H21" s="451"/>
      <c r="I21" s="451"/>
      <c r="J21" s="452"/>
      <c r="K21" s="270">
        <f t="shared" si="0"/>
        <v>0</v>
      </c>
      <c r="L21" s="15">
        <f>0+K21</f>
        <v>0</v>
      </c>
      <c r="M21" s="119">
        <f t="shared" si="1"/>
        <v>0</v>
      </c>
      <c r="N21" s="124">
        <f t="shared" si="1"/>
        <v>0</v>
      </c>
      <c r="O21" s="16">
        <v>0</v>
      </c>
      <c r="P21" s="16">
        <v>0</v>
      </c>
      <c r="Q21" s="18"/>
      <c r="R21" s="173"/>
    </row>
    <row r="22" spans="1:18" ht="22.5" customHeight="1" thickBot="1">
      <c r="A22" s="189" t="s">
        <v>200</v>
      </c>
      <c r="B22" s="497" t="s">
        <v>201</v>
      </c>
      <c r="C22" s="498"/>
      <c r="D22" s="499"/>
      <c r="E22" s="82">
        <v>2600</v>
      </c>
      <c r="F22" s="108">
        <f>56200+E22</f>
        <v>58800</v>
      </c>
      <c r="G22" s="450">
        <v>1596.77</v>
      </c>
      <c r="H22" s="451"/>
      <c r="I22" s="451"/>
      <c r="J22" s="452"/>
      <c r="K22" s="270">
        <f t="shared" si="0"/>
        <v>1596.77</v>
      </c>
      <c r="L22" s="15">
        <f>70693.34+K22</f>
        <v>72290.11</v>
      </c>
      <c r="M22" s="119">
        <f>E22-K22</f>
        <v>1003.23</v>
      </c>
      <c r="N22" s="124">
        <f t="shared" si="1"/>
        <v>-13490.11</v>
      </c>
      <c r="O22" s="16">
        <v>0</v>
      </c>
      <c r="P22" s="16">
        <v>0</v>
      </c>
      <c r="Q22" s="173"/>
      <c r="R22" s="173"/>
    </row>
    <row r="23" spans="1:18" ht="27" customHeight="1" thickBot="1">
      <c r="A23" s="189" t="s">
        <v>202</v>
      </c>
      <c r="B23" s="572" t="s">
        <v>140</v>
      </c>
      <c r="C23" s="573"/>
      <c r="D23" s="574"/>
      <c r="E23" s="14"/>
      <c r="F23" s="108"/>
      <c r="G23" s="450">
        <v>7448</v>
      </c>
      <c r="H23" s="451"/>
      <c r="I23" s="451"/>
      <c r="J23" s="452"/>
      <c r="K23" s="270">
        <f>G23</f>
        <v>7448</v>
      </c>
      <c r="L23" s="15">
        <f>808039.85+K23</f>
        <v>815487.85</v>
      </c>
      <c r="M23" s="119">
        <f t="shared" si="1"/>
        <v>-7448</v>
      </c>
      <c r="N23" s="124">
        <f t="shared" si="1"/>
        <v>-815487.85</v>
      </c>
      <c r="O23" s="16">
        <v>0</v>
      </c>
      <c r="P23" s="16">
        <v>0</v>
      </c>
      <c r="Q23" s="173"/>
      <c r="R23" s="173"/>
    </row>
    <row r="24" spans="1:18" ht="15">
      <c r="A24" s="446"/>
      <c r="B24" s="575" t="s">
        <v>30</v>
      </c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7"/>
      <c r="Q24" s="173"/>
      <c r="R24" s="173"/>
    </row>
    <row r="25" spans="1:18" ht="3.75" customHeight="1" thickBot="1">
      <c r="A25" s="447"/>
      <c r="B25" s="578"/>
      <c r="C25" s="579"/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579"/>
      <c r="P25" s="580"/>
      <c r="Q25" s="173"/>
      <c r="R25" s="173"/>
    </row>
    <row r="26" spans="1:18" ht="15.75" thickBot="1">
      <c r="A26" s="446"/>
      <c r="B26" s="550" t="s">
        <v>14</v>
      </c>
      <c r="C26" s="551"/>
      <c r="D26" s="552"/>
      <c r="E26" s="581" t="s">
        <v>24</v>
      </c>
      <c r="F26" s="583" t="s">
        <v>25</v>
      </c>
      <c r="G26" s="532" t="s">
        <v>31</v>
      </c>
      <c r="H26" s="522"/>
      <c r="I26" s="522"/>
      <c r="J26" s="522"/>
      <c r="K26" s="533"/>
      <c r="L26" s="534" t="s">
        <v>16</v>
      </c>
      <c r="M26" s="534" t="s">
        <v>17</v>
      </c>
      <c r="N26" s="534" t="s">
        <v>18</v>
      </c>
      <c r="O26" s="534" t="s">
        <v>19</v>
      </c>
      <c r="P26" s="534" t="s">
        <v>20</v>
      </c>
      <c r="Q26" s="173"/>
      <c r="R26" s="173"/>
    </row>
    <row r="27" spans="1:18" ht="77.25" customHeight="1" thickBot="1">
      <c r="A27" s="447"/>
      <c r="B27" s="553"/>
      <c r="C27" s="554"/>
      <c r="D27" s="555"/>
      <c r="E27" s="582"/>
      <c r="F27" s="584"/>
      <c r="G27" s="273" t="s">
        <v>32</v>
      </c>
      <c r="H27" s="273" t="s">
        <v>33</v>
      </c>
      <c r="I27" s="273" t="s">
        <v>34</v>
      </c>
      <c r="J27" s="175" t="s">
        <v>220</v>
      </c>
      <c r="K27" s="176" t="s">
        <v>27</v>
      </c>
      <c r="L27" s="535"/>
      <c r="M27" s="535"/>
      <c r="N27" s="535"/>
      <c r="O27" s="535"/>
      <c r="P27" s="535"/>
      <c r="Q27" s="173"/>
      <c r="R27" s="18">
        <v>365352.1499999948</v>
      </c>
    </row>
    <row r="28" spans="1:18" ht="15.75" thickBot="1">
      <c r="A28" s="2"/>
      <c r="B28" s="536">
        <v>1</v>
      </c>
      <c r="C28" s="537"/>
      <c r="D28" s="538"/>
      <c r="E28" s="180" t="s">
        <v>22</v>
      </c>
      <c r="F28" s="273">
        <v>3</v>
      </c>
      <c r="G28" s="273">
        <v>4</v>
      </c>
      <c r="H28" s="273">
        <v>5</v>
      </c>
      <c r="I28" s="175">
        <v>6</v>
      </c>
      <c r="J28" s="175">
        <v>7</v>
      </c>
      <c r="K28" s="192">
        <v>8</v>
      </c>
      <c r="L28" s="277">
        <v>9</v>
      </c>
      <c r="M28" s="175">
        <v>10</v>
      </c>
      <c r="N28" s="277">
        <v>11</v>
      </c>
      <c r="O28" s="175">
        <v>12</v>
      </c>
      <c r="P28" s="277">
        <v>13</v>
      </c>
      <c r="Q28" s="173"/>
      <c r="R28" s="173"/>
    </row>
    <row r="29" spans="1:18" ht="15.75" thickBot="1">
      <c r="A29" s="2"/>
      <c r="B29" s="539" t="s">
        <v>23</v>
      </c>
      <c r="C29" s="529"/>
      <c r="D29" s="531"/>
      <c r="E29" s="76">
        <f aca="true" t="shared" si="2" ref="E29:J29">E30+E34+E38+E44+E51+E54+E64+E67+E71+E74+E78+E80+E88+E101+E132+E135+E138+E141</f>
        <v>406619</v>
      </c>
      <c r="F29" s="76">
        <f t="shared" si="2"/>
        <v>11186541</v>
      </c>
      <c r="G29" s="76">
        <f t="shared" si="2"/>
        <v>156155.18</v>
      </c>
      <c r="H29" s="76">
        <f t="shared" si="2"/>
        <v>107632.01</v>
      </c>
      <c r="I29" s="76">
        <f t="shared" si="2"/>
        <v>0</v>
      </c>
      <c r="J29" s="76">
        <f t="shared" si="2"/>
        <v>22862.91</v>
      </c>
      <c r="K29" s="76">
        <f>K30+K34+K38+K44+K51+K54+K64+K67+K71+K74+K78+K80+K88+K101+K132+K135+K138+K141</f>
        <v>263787.19</v>
      </c>
      <c r="L29" s="76">
        <f>L30+L34+L38+L44+L51+L54+L64+L67+L71+L74+L78+L80+L88+L101+L132+L135+L138+L141</f>
        <v>12427890.61</v>
      </c>
      <c r="M29" s="76">
        <f>M30+M34+M38+M44+M51+M54+M64+M67+M71+M74+M78+M80+M88+M101+M132+M135+M138+M141</f>
        <v>142831.81</v>
      </c>
      <c r="N29" s="76">
        <f>N30+N34+N38+N44+N51+N54+N64+N67+N71+N74+N78+N80+N88+N101+N132+N135+N138+N141</f>
        <v>-1241349.6099999992</v>
      </c>
      <c r="O29" s="21">
        <v>0</v>
      </c>
      <c r="P29" s="21">
        <v>0</v>
      </c>
      <c r="Q29" s="173"/>
      <c r="R29" s="18"/>
    </row>
    <row r="30" spans="1:18" ht="25.5" customHeight="1" thickBot="1">
      <c r="A30" s="22" t="s">
        <v>21</v>
      </c>
      <c r="B30" s="426" t="s">
        <v>36</v>
      </c>
      <c r="C30" s="338"/>
      <c r="D30" s="339"/>
      <c r="E30" s="111">
        <f>SUM(E31:E32)</f>
        <v>252400</v>
      </c>
      <c r="F30" s="81">
        <f>F31+F32+F33</f>
        <v>6185813</v>
      </c>
      <c r="G30" s="20">
        <f>G31+G32+G33</f>
        <v>44000</v>
      </c>
      <c r="H30" s="20">
        <f>H31</f>
        <v>107246.36</v>
      </c>
      <c r="I30" s="20"/>
      <c r="J30" s="20"/>
      <c r="K30" s="81">
        <f>G30+H30</f>
        <v>151246.36</v>
      </c>
      <c r="L30" s="23">
        <f>L31+L32</f>
        <v>5689771.779999999</v>
      </c>
      <c r="M30" s="120">
        <f>E30-K30</f>
        <v>101153.64000000001</v>
      </c>
      <c r="N30" s="122">
        <f>F30-L30</f>
        <v>496041.22000000067</v>
      </c>
      <c r="O30" s="26">
        <v>0</v>
      </c>
      <c r="P30" s="27">
        <v>0</v>
      </c>
      <c r="Q30" s="18"/>
      <c r="R30" s="18"/>
    </row>
    <row r="31" spans="1:18" ht="21.75" customHeight="1" thickBot="1">
      <c r="A31" s="29" t="s">
        <v>150</v>
      </c>
      <c r="B31" s="430" t="s">
        <v>151</v>
      </c>
      <c r="C31" s="431"/>
      <c r="D31" s="432"/>
      <c r="E31" s="112">
        <v>224400</v>
      </c>
      <c r="F31" s="108">
        <f>3324453+E31</f>
        <v>3548853</v>
      </c>
      <c r="G31" s="33"/>
      <c r="H31" s="33">
        <v>107246.36</v>
      </c>
      <c r="I31" s="33"/>
      <c r="J31" s="33"/>
      <c r="K31" s="82">
        <f>H31</f>
        <v>107246.36</v>
      </c>
      <c r="L31" s="15">
        <f>3417109.59+K31</f>
        <v>3524355.9499999997</v>
      </c>
      <c r="M31" s="119">
        <f>E31-K31</f>
        <v>117153.64</v>
      </c>
      <c r="N31" s="121">
        <f>F31-L31</f>
        <v>24497.05000000028</v>
      </c>
      <c r="O31" s="31">
        <v>0</v>
      </c>
      <c r="P31" s="123">
        <v>0</v>
      </c>
      <c r="Q31" s="18"/>
      <c r="R31" s="18"/>
    </row>
    <row r="32" spans="1:18" ht="15.75" thickBot="1">
      <c r="A32" s="29" t="s">
        <v>153</v>
      </c>
      <c r="B32" s="340" t="s">
        <v>152</v>
      </c>
      <c r="C32" s="341"/>
      <c r="D32" s="342"/>
      <c r="E32" s="112">
        <v>28000</v>
      </c>
      <c r="F32" s="108">
        <f>2608960+E32</f>
        <v>2636960</v>
      </c>
      <c r="G32" s="33">
        <v>44000</v>
      </c>
      <c r="H32" s="33"/>
      <c r="I32" s="33"/>
      <c r="J32" s="33"/>
      <c r="K32" s="15">
        <f>0+G32</f>
        <v>44000</v>
      </c>
      <c r="L32" s="15">
        <f>2121415.83+K32</f>
        <v>2165415.83</v>
      </c>
      <c r="M32" s="119">
        <f>E32-K32</f>
        <v>-16000</v>
      </c>
      <c r="N32" s="121">
        <f>F32-L32</f>
        <v>471544.1699999999</v>
      </c>
      <c r="O32" s="31">
        <v>0</v>
      </c>
      <c r="P32" s="123">
        <v>0</v>
      </c>
      <c r="Q32" s="18"/>
      <c r="R32" s="18"/>
    </row>
    <row r="33" spans="1:18" ht="15.75" thickBot="1">
      <c r="A33" s="29" t="s">
        <v>155</v>
      </c>
      <c r="B33" s="340" t="s">
        <v>154</v>
      </c>
      <c r="C33" s="341"/>
      <c r="D33" s="342"/>
      <c r="E33" s="95"/>
      <c r="F33" s="15"/>
      <c r="G33" s="33"/>
      <c r="H33" s="33"/>
      <c r="I33" s="33"/>
      <c r="J33" s="33"/>
      <c r="K33" s="82"/>
      <c r="L33" s="15"/>
      <c r="M33" s="193"/>
      <c r="N33" s="194"/>
      <c r="O33" s="31"/>
      <c r="P33" s="123"/>
      <c r="Q33" s="18"/>
      <c r="R33" s="18"/>
    </row>
    <row r="34" spans="1:18" ht="39" customHeight="1" thickBot="1">
      <c r="A34" s="128" t="s">
        <v>22</v>
      </c>
      <c r="B34" s="395" t="s">
        <v>37</v>
      </c>
      <c r="C34" s="396"/>
      <c r="D34" s="397"/>
      <c r="E34" s="81">
        <f>SUM(E35:E37)</f>
        <v>53813</v>
      </c>
      <c r="F34" s="81">
        <f>F35+F36+F37</f>
        <v>1255190</v>
      </c>
      <c r="G34" s="20">
        <f>G35+G36+G37</f>
        <v>38564.67</v>
      </c>
      <c r="H34" s="20">
        <f>H35</f>
        <v>385.65</v>
      </c>
      <c r="I34" s="20"/>
      <c r="J34" s="20"/>
      <c r="K34" s="81">
        <f>G34+H34</f>
        <v>38950.32</v>
      </c>
      <c r="L34" s="23">
        <f>L35+L36</f>
        <v>1135389.21</v>
      </c>
      <c r="M34" s="120">
        <f aca="true" t="shared" si="3" ref="M34:N36">E34-K34</f>
        <v>14862.68</v>
      </c>
      <c r="N34" s="125">
        <f t="shared" si="3"/>
        <v>119800.79000000004</v>
      </c>
      <c r="O34" s="26">
        <v>0</v>
      </c>
      <c r="P34" s="27">
        <v>0</v>
      </c>
      <c r="Q34" s="173"/>
      <c r="R34" s="173"/>
    </row>
    <row r="35" spans="1:18" ht="15.75" thickBot="1">
      <c r="A35" s="29" t="s">
        <v>156</v>
      </c>
      <c r="B35" s="430" t="s">
        <v>151</v>
      </c>
      <c r="C35" s="431"/>
      <c r="D35" s="432"/>
      <c r="E35" s="82">
        <v>48157</v>
      </c>
      <c r="F35" s="108">
        <f>674367+E35</f>
        <v>722524</v>
      </c>
      <c r="G35" s="33"/>
      <c r="H35" s="33">
        <v>385.65</v>
      </c>
      <c r="I35" s="33"/>
      <c r="J35" s="33"/>
      <c r="K35" s="82">
        <f>H35</f>
        <v>385.65</v>
      </c>
      <c r="L35" s="15">
        <f>634743.33+K35</f>
        <v>635128.98</v>
      </c>
      <c r="M35" s="119">
        <f t="shared" si="3"/>
        <v>47771.35</v>
      </c>
      <c r="N35" s="121">
        <f t="shared" si="3"/>
        <v>87395.02000000002</v>
      </c>
      <c r="O35" s="31">
        <v>0</v>
      </c>
      <c r="P35" s="123">
        <v>0</v>
      </c>
      <c r="Q35" s="173"/>
      <c r="R35" s="248">
        <f>10506304-F29</f>
        <v>-680237</v>
      </c>
    </row>
    <row r="36" spans="1:18" ht="15.75" thickBot="1">
      <c r="A36" s="29" t="s">
        <v>157</v>
      </c>
      <c r="B36" s="340" t="s">
        <v>152</v>
      </c>
      <c r="C36" s="341"/>
      <c r="D36" s="342"/>
      <c r="E36" s="82">
        <v>5656</v>
      </c>
      <c r="F36" s="108">
        <f>527010+E36</f>
        <v>532666</v>
      </c>
      <c r="G36" s="33">
        <v>38564.67</v>
      </c>
      <c r="H36" s="33"/>
      <c r="I36" s="33"/>
      <c r="J36" s="33"/>
      <c r="K36" s="82">
        <f>G36</f>
        <v>38564.67</v>
      </c>
      <c r="L36" s="15">
        <f>461695.56+K36</f>
        <v>500260.23</v>
      </c>
      <c r="M36" s="119">
        <f t="shared" si="3"/>
        <v>-32908.67</v>
      </c>
      <c r="N36" s="121">
        <f t="shared" si="3"/>
        <v>32405.77000000002</v>
      </c>
      <c r="O36" s="31">
        <v>0</v>
      </c>
      <c r="P36" s="123">
        <v>0</v>
      </c>
      <c r="Q36" s="173"/>
      <c r="R36" s="173"/>
    </row>
    <row r="37" spans="1:18" ht="15.75" thickBot="1">
      <c r="A37" s="29" t="s">
        <v>158</v>
      </c>
      <c r="B37" s="340" t="s">
        <v>154</v>
      </c>
      <c r="C37" s="341"/>
      <c r="D37" s="342"/>
      <c r="E37" s="82"/>
      <c r="F37" s="108"/>
      <c r="G37" s="33"/>
      <c r="H37" s="33"/>
      <c r="I37" s="33"/>
      <c r="J37" s="33"/>
      <c r="K37" s="82"/>
      <c r="L37" s="15"/>
      <c r="M37" s="193"/>
      <c r="N37" s="195"/>
      <c r="O37" s="31"/>
      <c r="P37" s="123"/>
      <c r="Q37" s="173"/>
      <c r="R37" s="173"/>
    </row>
    <row r="38" spans="1:18" ht="26.25" customHeight="1" thickBot="1">
      <c r="A38" s="22" t="s">
        <v>38</v>
      </c>
      <c r="B38" s="395" t="s">
        <v>39</v>
      </c>
      <c r="C38" s="396"/>
      <c r="D38" s="397"/>
      <c r="E38" s="81">
        <f>SUM(E41:E43)</f>
        <v>4500</v>
      </c>
      <c r="F38" s="114">
        <f>F41+F42+F43</f>
        <v>39000</v>
      </c>
      <c r="G38" s="20">
        <f>G40</f>
        <v>4428.49</v>
      </c>
      <c r="H38" s="20"/>
      <c r="I38" s="20"/>
      <c r="J38" s="20"/>
      <c r="K38" s="23">
        <f>K39+K40</f>
        <v>4428.49</v>
      </c>
      <c r="L38" s="23">
        <f>31194.47+K38</f>
        <v>35622.96</v>
      </c>
      <c r="M38" s="120">
        <f>E38-K38</f>
        <v>71.51000000000022</v>
      </c>
      <c r="N38" s="122">
        <f>F38-L38</f>
        <v>3377.040000000001</v>
      </c>
      <c r="O38" s="26">
        <v>0</v>
      </c>
      <c r="P38" s="27">
        <v>0</v>
      </c>
      <c r="Q38" s="173"/>
      <c r="R38" s="173"/>
    </row>
    <row r="39" spans="1:18" ht="15.75" thickBot="1">
      <c r="A39" s="29" t="s">
        <v>159</v>
      </c>
      <c r="B39" s="430" t="s">
        <v>151</v>
      </c>
      <c r="C39" s="431"/>
      <c r="D39" s="432"/>
      <c r="E39" s="15"/>
      <c r="F39" s="108"/>
      <c r="G39" s="33"/>
      <c r="H39" s="33"/>
      <c r="I39" s="33"/>
      <c r="J39" s="33"/>
      <c r="K39" s="82"/>
      <c r="L39" s="15"/>
      <c r="M39" s="193"/>
      <c r="N39" s="195"/>
      <c r="O39" s="31"/>
      <c r="P39" s="123"/>
      <c r="Q39" s="173"/>
      <c r="R39" s="173"/>
    </row>
    <row r="40" spans="1:18" ht="15.75" thickBot="1">
      <c r="A40" s="29" t="s">
        <v>160</v>
      </c>
      <c r="B40" s="340" t="s">
        <v>152</v>
      </c>
      <c r="C40" s="341"/>
      <c r="D40" s="342"/>
      <c r="E40" s="82">
        <v>4500</v>
      </c>
      <c r="F40" s="108">
        <f>34500+E40</f>
        <v>39000</v>
      </c>
      <c r="G40" s="33">
        <f>G41+G42</f>
        <v>4428.49</v>
      </c>
      <c r="H40" s="33"/>
      <c r="I40" s="33"/>
      <c r="J40" s="33"/>
      <c r="K40" s="15">
        <f>0+G40</f>
        <v>4428.49</v>
      </c>
      <c r="L40" s="15">
        <f>L41+L42+L43</f>
        <v>35622.96</v>
      </c>
      <c r="M40" s="119">
        <f aca="true" t="shared" si="4" ref="M40:N55">E40-K40</f>
        <v>71.51000000000022</v>
      </c>
      <c r="N40" s="121">
        <f t="shared" si="4"/>
        <v>3377.040000000001</v>
      </c>
      <c r="O40" s="31">
        <v>0</v>
      </c>
      <c r="P40" s="123">
        <v>0</v>
      </c>
      <c r="Q40" s="173"/>
      <c r="R40" s="173"/>
    </row>
    <row r="41" spans="1:18" ht="15.75" thickBot="1">
      <c r="A41" s="29" t="s">
        <v>40</v>
      </c>
      <c r="B41" s="427" t="s">
        <v>41</v>
      </c>
      <c r="C41" s="428"/>
      <c r="D41" s="429"/>
      <c r="E41" s="108">
        <v>2281</v>
      </c>
      <c r="F41" s="108">
        <f>15967+E41</f>
        <v>18248</v>
      </c>
      <c r="G41" s="33">
        <v>2209.49</v>
      </c>
      <c r="H41" s="33"/>
      <c r="I41" s="33"/>
      <c r="J41" s="33"/>
      <c r="K41" s="15">
        <f>0+G41</f>
        <v>2209.49</v>
      </c>
      <c r="L41" s="15">
        <f>15661.47+K41</f>
        <v>17870.96</v>
      </c>
      <c r="M41" s="119">
        <f t="shared" si="4"/>
        <v>71.51000000000022</v>
      </c>
      <c r="N41" s="121">
        <f t="shared" si="4"/>
        <v>377.0400000000009</v>
      </c>
      <c r="O41" s="31">
        <v>0</v>
      </c>
      <c r="P41" s="123">
        <v>0</v>
      </c>
      <c r="Q41" s="173"/>
      <c r="R41" s="173"/>
    </row>
    <row r="42" spans="1:18" ht="15.75" thickBot="1">
      <c r="A42" s="29" t="s">
        <v>42</v>
      </c>
      <c r="B42" s="427" t="s">
        <v>43</v>
      </c>
      <c r="C42" s="428"/>
      <c r="D42" s="429"/>
      <c r="E42" s="108">
        <v>2219</v>
      </c>
      <c r="F42" s="108">
        <f>15533+E42</f>
        <v>17752</v>
      </c>
      <c r="G42" s="33">
        <v>2219</v>
      </c>
      <c r="H42" s="33"/>
      <c r="I42" s="33"/>
      <c r="J42" s="33"/>
      <c r="K42" s="15">
        <f>0+G42</f>
        <v>2219</v>
      </c>
      <c r="L42" s="15">
        <f>15533+K42</f>
        <v>17752</v>
      </c>
      <c r="M42" s="119">
        <f t="shared" si="4"/>
        <v>0</v>
      </c>
      <c r="N42" s="121">
        <f t="shared" si="4"/>
        <v>0</v>
      </c>
      <c r="O42" s="31">
        <v>0</v>
      </c>
      <c r="P42" s="123">
        <v>0</v>
      </c>
      <c r="Q42" s="173"/>
      <c r="R42" s="173"/>
    </row>
    <row r="43" spans="1:18" ht="15.75" thickBot="1">
      <c r="A43" s="29" t="s">
        <v>44</v>
      </c>
      <c r="B43" s="427" t="s">
        <v>45</v>
      </c>
      <c r="C43" s="428"/>
      <c r="D43" s="429"/>
      <c r="E43" s="108"/>
      <c r="F43" s="108">
        <f>3000+E43</f>
        <v>3000</v>
      </c>
      <c r="G43" s="13"/>
      <c r="H43" s="13"/>
      <c r="I43" s="13"/>
      <c r="J43" s="33"/>
      <c r="K43" s="15">
        <f>0+J43</f>
        <v>0</v>
      </c>
      <c r="L43" s="15">
        <f>0+K43</f>
        <v>0</v>
      </c>
      <c r="M43" s="119">
        <f t="shared" si="4"/>
        <v>0</v>
      </c>
      <c r="N43" s="121">
        <f t="shared" si="4"/>
        <v>3000</v>
      </c>
      <c r="O43" s="31">
        <v>0</v>
      </c>
      <c r="P43" s="123">
        <v>0</v>
      </c>
      <c r="Q43" s="173"/>
      <c r="R43" s="18"/>
    </row>
    <row r="44" spans="1:18" ht="33.75" customHeight="1" thickBot="1">
      <c r="A44" s="22" t="s">
        <v>46</v>
      </c>
      <c r="B44" s="395" t="s">
        <v>47</v>
      </c>
      <c r="C44" s="396"/>
      <c r="D44" s="397"/>
      <c r="E44" s="81">
        <f>SUM(E47:E49)</f>
        <v>0</v>
      </c>
      <c r="F44" s="114">
        <f>1025200+E44</f>
        <v>1025200</v>
      </c>
      <c r="G44" s="23">
        <f>G45+G46+G47</f>
        <v>7827.5</v>
      </c>
      <c r="H44" s="32"/>
      <c r="I44" s="32"/>
      <c r="J44" s="20"/>
      <c r="K44" s="23">
        <f>K45+K46+K47</f>
        <v>7827.5</v>
      </c>
      <c r="L44" s="23">
        <f>1164305.5+K44</f>
        <v>1172133</v>
      </c>
      <c r="M44" s="120">
        <f t="shared" si="4"/>
        <v>-7827.5</v>
      </c>
      <c r="N44" s="122">
        <f t="shared" si="4"/>
        <v>-146933</v>
      </c>
      <c r="O44" s="26">
        <v>0</v>
      </c>
      <c r="P44" s="27">
        <v>0</v>
      </c>
      <c r="Q44" s="173"/>
      <c r="R44" s="173"/>
    </row>
    <row r="45" spans="1:18" ht="15.75" thickBot="1">
      <c r="A45" s="29" t="s">
        <v>161</v>
      </c>
      <c r="B45" s="340" t="s">
        <v>152</v>
      </c>
      <c r="C45" s="341"/>
      <c r="D45" s="342"/>
      <c r="E45" s="112">
        <f>E48+E49</f>
        <v>0</v>
      </c>
      <c r="F45" s="108">
        <f>1135200+E45</f>
        <v>1135200</v>
      </c>
      <c r="G45" s="15">
        <f>G48+G49</f>
        <v>7827.5</v>
      </c>
      <c r="H45" s="13"/>
      <c r="I45" s="13"/>
      <c r="J45" s="33"/>
      <c r="K45" s="15">
        <f>0+G45</f>
        <v>7827.5</v>
      </c>
      <c r="L45" s="15">
        <f>L48+L49</f>
        <v>1172133</v>
      </c>
      <c r="M45" s="119">
        <f t="shared" si="4"/>
        <v>-7827.5</v>
      </c>
      <c r="N45" s="124">
        <f t="shared" si="4"/>
        <v>-36933</v>
      </c>
      <c r="O45" s="31">
        <v>0</v>
      </c>
      <c r="P45" s="123">
        <v>0</v>
      </c>
      <c r="Q45" s="173"/>
      <c r="R45" s="173"/>
    </row>
    <row r="46" spans="1:18" ht="15.75" thickBot="1">
      <c r="A46" s="29" t="s">
        <v>162</v>
      </c>
      <c r="B46" s="430" t="s">
        <v>151</v>
      </c>
      <c r="C46" s="431"/>
      <c r="D46" s="432"/>
      <c r="E46" s="94"/>
      <c r="F46" s="108"/>
      <c r="G46" s="15"/>
      <c r="H46" s="13"/>
      <c r="I46" s="13"/>
      <c r="J46" s="33"/>
      <c r="K46" s="15">
        <f aca="true" t="shared" si="5" ref="K46:K53">0+G46</f>
        <v>0</v>
      </c>
      <c r="L46" s="15">
        <f aca="true" t="shared" si="6" ref="L46:L61">0+K46</f>
        <v>0</v>
      </c>
      <c r="M46" s="119">
        <f t="shared" si="4"/>
        <v>0</v>
      </c>
      <c r="N46" s="121">
        <f t="shared" si="4"/>
        <v>0</v>
      </c>
      <c r="O46" s="31">
        <v>0</v>
      </c>
      <c r="P46" s="123">
        <v>0</v>
      </c>
      <c r="Q46" s="173"/>
      <c r="R46" s="173"/>
    </row>
    <row r="47" spans="1:18" ht="15.75" thickBot="1">
      <c r="A47" s="29" t="s">
        <v>163</v>
      </c>
      <c r="B47" s="96" t="s">
        <v>154</v>
      </c>
      <c r="C47" s="97"/>
      <c r="D47" s="97"/>
      <c r="E47" s="126"/>
      <c r="F47" s="108"/>
      <c r="G47" s="15"/>
      <c r="H47" s="13"/>
      <c r="I47" s="13"/>
      <c r="J47" s="33"/>
      <c r="K47" s="15">
        <f t="shared" si="5"/>
        <v>0</v>
      </c>
      <c r="L47" s="15">
        <f t="shared" si="6"/>
        <v>0</v>
      </c>
      <c r="M47" s="119">
        <f t="shared" si="4"/>
        <v>0</v>
      </c>
      <c r="N47" s="121">
        <f t="shared" si="4"/>
        <v>0</v>
      </c>
      <c r="O47" s="31">
        <v>0</v>
      </c>
      <c r="P47" s="123">
        <v>0</v>
      </c>
      <c r="Q47" s="173"/>
      <c r="R47" s="196"/>
    </row>
    <row r="48" spans="1:18" ht="15.75" thickBot="1">
      <c r="A48" s="29" t="s">
        <v>48</v>
      </c>
      <c r="B48" s="359" t="s">
        <v>49</v>
      </c>
      <c r="C48" s="360"/>
      <c r="D48" s="361"/>
      <c r="E48" s="108">
        <v>0</v>
      </c>
      <c r="F48" s="108">
        <f>1110000+E48</f>
        <v>1110000</v>
      </c>
      <c r="G48" s="13">
        <v>7827.5</v>
      </c>
      <c r="H48" s="13"/>
      <c r="I48" s="13"/>
      <c r="J48" s="33"/>
      <c r="K48" s="15">
        <f t="shared" si="5"/>
        <v>7827.5</v>
      </c>
      <c r="L48" s="15">
        <f>1151297+K48</f>
        <v>1159124.5</v>
      </c>
      <c r="M48" s="119">
        <f t="shared" si="4"/>
        <v>-7827.5</v>
      </c>
      <c r="N48" s="121">
        <f t="shared" si="4"/>
        <v>-49124.5</v>
      </c>
      <c r="O48" s="31">
        <v>0</v>
      </c>
      <c r="P48" s="123">
        <v>0</v>
      </c>
      <c r="Q48" s="173"/>
      <c r="R48" s="18"/>
    </row>
    <row r="49" spans="1:18" ht="15.75" thickBot="1">
      <c r="A49" s="29" t="s">
        <v>50</v>
      </c>
      <c r="B49" s="359" t="s">
        <v>51</v>
      </c>
      <c r="C49" s="360"/>
      <c r="D49" s="361"/>
      <c r="E49" s="108">
        <v>0</v>
      </c>
      <c r="F49" s="108">
        <f>25200+E49</f>
        <v>25200</v>
      </c>
      <c r="G49" s="13"/>
      <c r="H49" s="13"/>
      <c r="I49" s="13"/>
      <c r="J49" s="33"/>
      <c r="K49" s="15">
        <f t="shared" si="5"/>
        <v>0</v>
      </c>
      <c r="L49" s="15">
        <f>13008.5+K49</f>
        <v>13008.5</v>
      </c>
      <c r="M49" s="119">
        <f t="shared" si="4"/>
        <v>0</v>
      </c>
      <c r="N49" s="121">
        <f t="shared" si="4"/>
        <v>12191.5</v>
      </c>
      <c r="O49" s="31">
        <v>0</v>
      </c>
      <c r="P49" s="123">
        <v>0</v>
      </c>
      <c r="Q49" s="173"/>
      <c r="R49" s="173"/>
    </row>
    <row r="50" spans="1:18" ht="15.75" thickBot="1">
      <c r="A50" s="29" t="s">
        <v>52</v>
      </c>
      <c r="B50" s="359" t="s">
        <v>53</v>
      </c>
      <c r="C50" s="360"/>
      <c r="D50" s="361"/>
      <c r="E50" s="13">
        <v>0</v>
      </c>
      <c r="F50" s="108">
        <f>0+E50</f>
        <v>0</v>
      </c>
      <c r="G50" s="13"/>
      <c r="H50" s="13"/>
      <c r="I50" s="13"/>
      <c r="J50" s="33"/>
      <c r="K50" s="15">
        <f t="shared" si="5"/>
        <v>0</v>
      </c>
      <c r="L50" s="15">
        <f t="shared" si="6"/>
        <v>0</v>
      </c>
      <c r="M50" s="119">
        <f t="shared" si="4"/>
        <v>0</v>
      </c>
      <c r="N50" s="121">
        <f t="shared" si="4"/>
        <v>0</v>
      </c>
      <c r="O50" s="31">
        <v>0</v>
      </c>
      <c r="P50" s="123">
        <v>0</v>
      </c>
      <c r="Q50" s="173"/>
      <c r="R50" s="173"/>
    </row>
    <row r="51" spans="1:18" ht="32.25" customHeight="1" thickBot="1">
      <c r="A51" s="22" t="s">
        <v>54</v>
      </c>
      <c r="B51" s="425" t="s">
        <v>55</v>
      </c>
      <c r="C51" s="323"/>
      <c r="D51" s="324"/>
      <c r="E51" s="23">
        <v>0</v>
      </c>
      <c r="F51" s="23">
        <v>0</v>
      </c>
      <c r="G51" s="23"/>
      <c r="H51" s="23"/>
      <c r="I51" s="23"/>
      <c r="J51" s="20"/>
      <c r="K51" s="23">
        <f t="shared" si="5"/>
        <v>0</v>
      </c>
      <c r="L51" s="23">
        <f t="shared" si="6"/>
        <v>0</v>
      </c>
      <c r="M51" s="120">
        <f t="shared" si="4"/>
        <v>0</v>
      </c>
      <c r="N51" s="122">
        <f t="shared" si="4"/>
        <v>0</v>
      </c>
      <c r="O51" s="26">
        <v>0</v>
      </c>
      <c r="P51" s="27">
        <v>0</v>
      </c>
      <c r="Q51" s="173"/>
      <c r="R51" s="173"/>
    </row>
    <row r="52" spans="1:18" ht="15.75" thickBot="1">
      <c r="A52" s="29" t="s">
        <v>164</v>
      </c>
      <c r="B52" s="340" t="s">
        <v>152</v>
      </c>
      <c r="C52" s="341"/>
      <c r="D52" s="342"/>
      <c r="E52" s="15"/>
      <c r="F52" s="15"/>
      <c r="G52" s="15"/>
      <c r="H52" s="15"/>
      <c r="I52" s="15"/>
      <c r="J52" s="33"/>
      <c r="K52" s="15">
        <f t="shared" si="5"/>
        <v>0</v>
      </c>
      <c r="L52" s="15">
        <f t="shared" si="6"/>
        <v>0</v>
      </c>
      <c r="M52" s="119">
        <f t="shared" si="4"/>
        <v>0</v>
      </c>
      <c r="N52" s="121">
        <f t="shared" si="4"/>
        <v>0</v>
      </c>
      <c r="O52" s="31">
        <v>0</v>
      </c>
      <c r="P52" s="123">
        <v>0</v>
      </c>
      <c r="Q52" s="173"/>
      <c r="R52" s="173"/>
    </row>
    <row r="53" spans="1:18" ht="15.75" thickBot="1">
      <c r="A53" s="29" t="s">
        <v>165</v>
      </c>
      <c r="B53" s="96" t="s">
        <v>154</v>
      </c>
      <c r="C53" s="97"/>
      <c r="D53" s="97"/>
      <c r="E53" s="15"/>
      <c r="F53" s="15"/>
      <c r="G53" s="15"/>
      <c r="H53" s="15"/>
      <c r="I53" s="15"/>
      <c r="J53" s="33"/>
      <c r="K53" s="15">
        <f t="shared" si="5"/>
        <v>0</v>
      </c>
      <c r="L53" s="15">
        <f t="shared" si="6"/>
        <v>0</v>
      </c>
      <c r="M53" s="119">
        <f t="shared" si="4"/>
        <v>0</v>
      </c>
      <c r="N53" s="121">
        <f t="shared" si="4"/>
        <v>0</v>
      </c>
      <c r="O53" s="31">
        <v>0</v>
      </c>
      <c r="P53" s="123">
        <v>0</v>
      </c>
      <c r="Q53" s="173"/>
      <c r="R53" s="173"/>
    </row>
    <row r="54" spans="1:18" ht="45.75" customHeight="1" thickBot="1">
      <c r="A54" s="22" t="s">
        <v>56</v>
      </c>
      <c r="B54" s="395" t="s">
        <v>57</v>
      </c>
      <c r="C54" s="396"/>
      <c r="D54" s="397"/>
      <c r="E54" s="81">
        <f>SUM(E59:E63)</f>
        <v>26100</v>
      </c>
      <c r="F54" s="114">
        <f>F55+F58</f>
        <v>1168500</v>
      </c>
      <c r="G54" s="23">
        <f>G55+G56+G57+G58</f>
        <v>25940.89</v>
      </c>
      <c r="H54" s="23"/>
      <c r="I54" s="23"/>
      <c r="J54" s="23">
        <f>J55+J56+J57+J58</f>
        <v>22862.91</v>
      </c>
      <c r="K54" s="23">
        <f>K55+K56+K57</f>
        <v>25940.89</v>
      </c>
      <c r="L54" s="23">
        <f>L55+L56+L57+L58</f>
        <v>1305850.72</v>
      </c>
      <c r="M54" s="120">
        <f t="shared" si="4"/>
        <v>159.11000000000058</v>
      </c>
      <c r="N54" s="125">
        <f t="shared" si="4"/>
        <v>-137350.71999999997</v>
      </c>
      <c r="O54" s="26">
        <v>0</v>
      </c>
      <c r="P54" s="27">
        <v>0</v>
      </c>
      <c r="Q54" s="173"/>
      <c r="R54" s="18">
        <f>F59+F60+F62+F63-F58</f>
        <v>1109700</v>
      </c>
    </row>
    <row r="55" spans="1:18" ht="15.75" thickBot="1">
      <c r="A55" s="29" t="s">
        <v>166</v>
      </c>
      <c r="B55" s="390" t="s">
        <v>152</v>
      </c>
      <c r="C55" s="391"/>
      <c r="D55" s="392"/>
      <c r="E55" s="113">
        <f>E59+E60+E62+E63-E58</f>
        <v>23500</v>
      </c>
      <c r="F55" s="108">
        <f>1086200+E55</f>
        <v>1109700</v>
      </c>
      <c r="G55" s="15">
        <f>G59+G60+G62+G63</f>
        <v>25940.89</v>
      </c>
      <c r="H55" s="15"/>
      <c r="I55" s="15"/>
      <c r="J55" s="15"/>
      <c r="K55" s="15">
        <f>0+G55</f>
        <v>25940.89</v>
      </c>
      <c r="L55" s="15">
        <f>1176623.36+K55</f>
        <v>1202564.25</v>
      </c>
      <c r="M55" s="119">
        <f t="shared" si="4"/>
        <v>-2440.8899999999994</v>
      </c>
      <c r="N55" s="121">
        <f t="shared" si="4"/>
        <v>-92864.25</v>
      </c>
      <c r="O55" s="31">
        <v>0</v>
      </c>
      <c r="P55" s="123">
        <v>0</v>
      </c>
      <c r="Q55" s="173"/>
      <c r="R55" s="18"/>
    </row>
    <row r="56" spans="1:18" ht="15.75" thickBot="1">
      <c r="A56" s="29" t="s">
        <v>167</v>
      </c>
      <c r="B56" s="430" t="s">
        <v>168</v>
      </c>
      <c r="C56" s="431"/>
      <c r="D56" s="432"/>
      <c r="E56" s="112"/>
      <c r="F56" s="108"/>
      <c r="G56" s="15"/>
      <c r="H56" s="15"/>
      <c r="I56" s="15"/>
      <c r="J56" s="15"/>
      <c r="K56" s="15">
        <f aca="true" t="shared" si="7" ref="K56:K61">0+G56</f>
        <v>0</v>
      </c>
      <c r="L56" s="15">
        <f t="shared" si="6"/>
        <v>0</v>
      </c>
      <c r="M56" s="119">
        <f aca="true" t="shared" si="8" ref="M56:N71">E56-K56</f>
        <v>0</v>
      </c>
      <c r="N56" s="121">
        <f t="shared" si="8"/>
        <v>0</v>
      </c>
      <c r="O56" s="31">
        <v>0</v>
      </c>
      <c r="P56" s="123">
        <v>0</v>
      </c>
      <c r="Q56" s="173"/>
      <c r="R56" s="18"/>
    </row>
    <row r="57" spans="1:18" ht="15.75" thickBot="1">
      <c r="A57" s="29" t="s">
        <v>203</v>
      </c>
      <c r="B57" s="503" t="s">
        <v>154</v>
      </c>
      <c r="C57" s="504"/>
      <c r="D57" s="504"/>
      <c r="E57" s="127"/>
      <c r="F57" s="108"/>
      <c r="G57" s="15"/>
      <c r="H57" s="15"/>
      <c r="I57" s="15"/>
      <c r="J57" s="15"/>
      <c r="K57" s="15">
        <f t="shared" si="7"/>
        <v>0</v>
      </c>
      <c r="L57" s="15">
        <f t="shared" si="6"/>
        <v>0</v>
      </c>
      <c r="M57" s="119">
        <f t="shared" si="8"/>
        <v>0</v>
      </c>
      <c r="N57" s="121">
        <f t="shared" si="8"/>
        <v>0</v>
      </c>
      <c r="O57" s="31">
        <v>0</v>
      </c>
      <c r="P57" s="123">
        <v>0</v>
      </c>
      <c r="Q57" s="173"/>
      <c r="R57" s="18">
        <f>L59+L60+L61+L62+L63</f>
        <v>1305850.72</v>
      </c>
    </row>
    <row r="58" spans="1:18" ht="19.5" customHeight="1" thickBot="1">
      <c r="A58" s="29" t="s">
        <v>204</v>
      </c>
      <c r="B58" s="497" t="s">
        <v>201</v>
      </c>
      <c r="C58" s="498"/>
      <c r="D58" s="499"/>
      <c r="E58" s="112">
        <v>2600</v>
      </c>
      <c r="F58" s="108">
        <f>56200+E58</f>
        <v>58800</v>
      </c>
      <c r="G58" s="15"/>
      <c r="H58" s="15"/>
      <c r="I58" s="15"/>
      <c r="J58" s="15">
        <f>J62+J63+J59</f>
        <v>22862.91</v>
      </c>
      <c r="K58" s="15">
        <f>0+J58</f>
        <v>22862.91</v>
      </c>
      <c r="L58" s="15">
        <f>80423.56+K58</f>
        <v>103286.47</v>
      </c>
      <c r="M58" s="119">
        <f t="shared" si="8"/>
        <v>-20262.91</v>
      </c>
      <c r="N58" s="121">
        <f t="shared" si="8"/>
        <v>-44486.47</v>
      </c>
      <c r="O58" s="31">
        <v>0</v>
      </c>
      <c r="P58" s="123">
        <v>0</v>
      </c>
      <c r="Q58" s="173"/>
      <c r="R58" s="18">
        <f>F59+F60+F62+F63</f>
        <v>1168500</v>
      </c>
    </row>
    <row r="59" spans="1:18" ht="28.5" customHeight="1" thickBot="1">
      <c r="A59" s="29" t="s">
        <v>58</v>
      </c>
      <c r="B59" s="419" t="s">
        <v>236</v>
      </c>
      <c r="C59" s="420"/>
      <c r="D59" s="421"/>
      <c r="E59" s="108">
        <v>20000</v>
      </c>
      <c r="F59" s="108">
        <f>325000+E59</f>
        <v>345000</v>
      </c>
      <c r="G59" s="13">
        <v>17110.05</v>
      </c>
      <c r="H59" s="13"/>
      <c r="I59" s="13"/>
      <c r="J59" s="15">
        <v>22862.91</v>
      </c>
      <c r="K59" s="15">
        <f>J59+G59</f>
        <v>39972.96</v>
      </c>
      <c r="L59" s="15">
        <f>300427.23+K59</f>
        <v>340400.19</v>
      </c>
      <c r="M59" s="119">
        <f t="shared" si="8"/>
        <v>-19972.96</v>
      </c>
      <c r="N59" s="121">
        <f t="shared" si="8"/>
        <v>4599.809999999998</v>
      </c>
      <c r="O59" s="31">
        <v>0</v>
      </c>
      <c r="P59" s="123">
        <v>0</v>
      </c>
      <c r="Q59" s="173"/>
      <c r="R59" s="196"/>
    </row>
    <row r="60" spans="1:18" ht="15.75" thickBot="1">
      <c r="A60" s="29" t="s">
        <v>60</v>
      </c>
      <c r="B60" s="387" t="s">
        <v>61</v>
      </c>
      <c r="C60" s="388"/>
      <c r="D60" s="388"/>
      <c r="E60" s="108"/>
      <c r="F60" s="108">
        <f>752000+E60</f>
        <v>752000</v>
      </c>
      <c r="G60" s="13"/>
      <c r="H60" s="13"/>
      <c r="I60" s="13"/>
      <c r="J60" s="15"/>
      <c r="K60" s="15">
        <f t="shared" si="7"/>
        <v>0</v>
      </c>
      <c r="L60" s="15">
        <f>904749.95+K60</f>
        <v>904749.95</v>
      </c>
      <c r="M60" s="119">
        <f t="shared" si="8"/>
        <v>0</v>
      </c>
      <c r="N60" s="121">
        <f t="shared" si="8"/>
        <v>-152749.94999999995</v>
      </c>
      <c r="O60" s="31">
        <v>0</v>
      </c>
      <c r="P60" s="123">
        <v>0</v>
      </c>
      <c r="Q60" s="173"/>
      <c r="R60" s="18"/>
    </row>
    <row r="61" spans="1:18" ht="15.75" thickBot="1">
      <c r="A61" s="29" t="s">
        <v>60</v>
      </c>
      <c r="B61" s="422" t="s">
        <v>205</v>
      </c>
      <c r="C61" s="423"/>
      <c r="D61" s="424"/>
      <c r="E61" s="108"/>
      <c r="F61" s="108"/>
      <c r="G61" s="13"/>
      <c r="H61" s="13"/>
      <c r="I61" s="13"/>
      <c r="J61" s="15"/>
      <c r="K61" s="15">
        <f t="shared" si="7"/>
        <v>0</v>
      </c>
      <c r="L61" s="15">
        <f t="shared" si="6"/>
        <v>0</v>
      </c>
      <c r="M61" s="119">
        <f t="shared" si="8"/>
        <v>0</v>
      </c>
      <c r="N61" s="121">
        <f t="shared" si="8"/>
        <v>0</v>
      </c>
      <c r="O61" s="31">
        <v>0</v>
      </c>
      <c r="P61" s="123">
        <v>0</v>
      </c>
      <c r="Q61" s="173"/>
      <c r="R61" s="173"/>
    </row>
    <row r="62" spans="1:18" ht="15.75" thickBot="1">
      <c r="A62" s="29" t="s">
        <v>62</v>
      </c>
      <c r="B62" s="387" t="s">
        <v>63</v>
      </c>
      <c r="C62" s="388"/>
      <c r="D62" s="389"/>
      <c r="E62" s="108">
        <v>3200</v>
      </c>
      <c r="F62" s="108">
        <f>34600+E62</f>
        <v>37800</v>
      </c>
      <c r="G62" s="215">
        <v>4727.06</v>
      </c>
      <c r="H62" s="60"/>
      <c r="I62" s="13"/>
      <c r="J62" s="13"/>
      <c r="K62" s="15">
        <f>0+J62+G62</f>
        <v>4727.06</v>
      </c>
      <c r="L62" s="15">
        <f>28782.29+K62</f>
        <v>33509.35</v>
      </c>
      <c r="M62" s="119">
        <f t="shared" si="8"/>
        <v>-1527.0600000000004</v>
      </c>
      <c r="N62" s="121">
        <f t="shared" si="8"/>
        <v>4290.6500000000015</v>
      </c>
      <c r="O62" s="31">
        <v>0</v>
      </c>
      <c r="P62" s="123">
        <v>0</v>
      </c>
      <c r="Q62" s="173"/>
      <c r="R62" s="173"/>
    </row>
    <row r="63" spans="1:18" ht="15.75" thickBot="1">
      <c r="A63" s="29" t="s">
        <v>64</v>
      </c>
      <c r="B63" s="387" t="s">
        <v>65</v>
      </c>
      <c r="C63" s="388"/>
      <c r="D63" s="389"/>
      <c r="E63" s="108">
        <v>2900</v>
      </c>
      <c r="F63" s="108">
        <f>30800+E63</f>
        <v>33700</v>
      </c>
      <c r="G63" s="216">
        <v>4103.78</v>
      </c>
      <c r="H63" s="13"/>
      <c r="I63" s="13"/>
      <c r="J63" s="13"/>
      <c r="K63" s="15">
        <f>0+J63+G63</f>
        <v>4103.78</v>
      </c>
      <c r="L63" s="15">
        <f>23087.45+K63</f>
        <v>27191.23</v>
      </c>
      <c r="M63" s="119">
        <f t="shared" si="8"/>
        <v>-1203.7799999999997</v>
      </c>
      <c r="N63" s="121">
        <f t="shared" si="8"/>
        <v>6508.77</v>
      </c>
      <c r="O63" s="31">
        <v>0</v>
      </c>
      <c r="P63" s="123">
        <v>0</v>
      </c>
      <c r="Q63" s="173"/>
      <c r="R63" s="173"/>
    </row>
    <row r="64" spans="1:18" ht="32.25" customHeight="1" thickBot="1">
      <c r="A64" s="56" t="s">
        <v>66</v>
      </c>
      <c r="B64" s="585" t="s">
        <v>228</v>
      </c>
      <c r="C64" s="586"/>
      <c r="D64" s="587"/>
      <c r="E64" s="81">
        <f>E65</f>
        <v>0</v>
      </c>
      <c r="F64" s="114">
        <f>F65+F66</f>
        <v>339000</v>
      </c>
      <c r="G64" s="32">
        <f>G65+G66</f>
        <v>0</v>
      </c>
      <c r="H64" s="23"/>
      <c r="I64" s="23">
        <f>I66</f>
        <v>0</v>
      </c>
      <c r="J64" s="23">
        <f>J65+J66</f>
        <v>0</v>
      </c>
      <c r="K64" s="23">
        <f>K65+K66</f>
        <v>0</v>
      </c>
      <c r="L64" s="23">
        <f>L65+L66</f>
        <v>292888</v>
      </c>
      <c r="M64" s="120">
        <f t="shared" si="8"/>
        <v>0</v>
      </c>
      <c r="N64" s="125">
        <f t="shared" si="8"/>
        <v>46112</v>
      </c>
      <c r="O64" s="26">
        <v>0</v>
      </c>
      <c r="P64" s="27">
        <v>0</v>
      </c>
      <c r="Q64" s="173"/>
      <c r="R64" s="173"/>
    </row>
    <row r="65" spans="1:18" ht="15.75" thickBot="1">
      <c r="A65" s="29" t="s">
        <v>207</v>
      </c>
      <c r="B65" s="340" t="s">
        <v>152</v>
      </c>
      <c r="C65" s="341"/>
      <c r="D65" s="342"/>
      <c r="E65" s="82">
        <v>0</v>
      </c>
      <c r="F65" s="108">
        <f>339000+E65</f>
        <v>339000</v>
      </c>
      <c r="G65" s="13"/>
      <c r="H65" s="15"/>
      <c r="I65" s="15"/>
      <c r="J65" s="15"/>
      <c r="K65" s="15">
        <f>0+G65</f>
        <v>0</v>
      </c>
      <c r="L65" s="15">
        <f>276088+K65</f>
        <v>276088</v>
      </c>
      <c r="M65" s="119">
        <f t="shared" si="8"/>
        <v>0</v>
      </c>
      <c r="N65" s="124">
        <f t="shared" si="8"/>
        <v>62912</v>
      </c>
      <c r="O65" s="31">
        <v>0</v>
      </c>
      <c r="P65" s="123">
        <v>0</v>
      </c>
      <c r="Q65" s="173"/>
      <c r="R65" s="173"/>
    </row>
    <row r="66" spans="1:18" ht="29.25" customHeight="1" thickBot="1">
      <c r="A66" s="29" t="s">
        <v>208</v>
      </c>
      <c r="B66" s="340" t="s">
        <v>171</v>
      </c>
      <c r="C66" s="341"/>
      <c r="D66" s="342"/>
      <c r="E66" s="82"/>
      <c r="F66" s="108"/>
      <c r="G66" s="13"/>
      <c r="H66" s="15"/>
      <c r="I66" s="15"/>
      <c r="J66" s="15"/>
      <c r="K66" s="15">
        <f>0+I66</f>
        <v>0</v>
      </c>
      <c r="L66" s="15">
        <f>16800+K66</f>
        <v>16800</v>
      </c>
      <c r="M66" s="119">
        <f t="shared" si="8"/>
        <v>0</v>
      </c>
      <c r="N66" s="124">
        <f t="shared" si="8"/>
        <v>-16800</v>
      </c>
      <c r="O66" s="31">
        <v>0</v>
      </c>
      <c r="P66" s="123">
        <v>0</v>
      </c>
      <c r="Q66" s="173"/>
      <c r="R66" s="173"/>
    </row>
    <row r="67" spans="1:18" ht="37.5" customHeight="1" thickBot="1">
      <c r="A67" s="128" t="s">
        <v>67</v>
      </c>
      <c r="B67" s="588" t="s">
        <v>226</v>
      </c>
      <c r="C67" s="589"/>
      <c r="D67" s="590"/>
      <c r="E67" s="81">
        <f>E68</f>
        <v>0</v>
      </c>
      <c r="F67" s="114">
        <f>125000+E67</f>
        <v>125000</v>
      </c>
      <c r="G67" s="32">
        <f>G68+G69</f>
        <v>0</v>
      </c>
      <c r="H67" s="23"/>
      <c r="I67" s="23"/>
      <c r="J67" s="23"/>
      <c r="K67" s="23">
        <f>K68+K69+K70</f>
        <v>0</v>
      </c>
      <c r="L67" s="23">
        <f>26070+K67</f>
        <v>26070</v>
      </c>
      <c r="M67" s="120">
        <f t="shared" si="8"/>
        <v>0</v>
      </c>
      <c r="N67" s="125">
        <f t="shared" si="8"/>
        <v>98930</v>
      </c>
      <c r="O67" s="26">
        <v>0</v>
      </c>
      <c r="P67" s="27">
        <v>0</v>
      </c>
      <c r="Q67" s="173"/>
      <c r="R67" s="18"/>
    </row>
    <row r="68" spans="1:18" ht="15.75" thickBot="1">
      <c r="A68" s="29" t="s">
        <v>169</v>
      </c>
      <c r="B68" s="340" t="s">
        <v>152</v>
      </c>
      <c r="C68" s="341"/>
      <c r="D68" s="342"/>
      <c r="E68" s="112">
        <v>0</v>
      </c>
      <c r="F68" s="108">
        <f>125000+E68</f>
        <v>125000</v>
      </c>
      <c r="G68" s="13"/>
      <c r="H68" s="15"/>
      <c r="I68" s="15"/>
      <c r="J68" s="15"/>
      <c r="K68" s="15">
        <f>G68</f>
        <v>0</v>
      </c>
      <c r="L68" s="15">
        <f>26070+K68</f>
        <v>26070</v>
      </c>
      <c r="M68" s="119">
        <f t="shared" si="8"/>
        <v>0</v>
      </c>
      <c r="N68" s="124">
        <f t="shared" si="8"/>
        <v>98930</v>
      </c>
      <c r="O68" s="31">
        <v>0</v>
      </c>
      <c r="P68" s="123">
        <v>0</v>
      </c>
      <c r="Q68" s="173"/>
      <c r="R68" s="18"/>
    </row>
    <row r="69" spans="1:18" ht="15.75" thickBot="1">
      <c r="A69" s="29" t="s">
        <v>170</v>
      </c>
      <c r="B69" s="340" t="s">
        <v>171</v>
      </c>
      <c r="C69" s="341"/>
      <c r="D69" s="342"/>
      <c r="E69" s="112"/>
      <c r="F69" s="108"/>
      <c r="G69" s="13"/>
      <c r="H69" s="15"/>
      <c r="I69" s="15"/>
      <c r="J69" s="15"/>
      <c r="K69" s="15">
        <f>G69</f>
        <v>0</v>
      </c>
      <c r="L69" s="15">
        <f>0+K69</f>
        <v>0</v>
      </c>
      <c r="M69" s="119">
        <f t="shared" si="8"/>
        <v>0</v>
      </c>
      <c r="N69" s="124">
        <f t="shared" si="8"/>
        <v>0</v>
      </c>
      <c r="O69" s="31">
        <v>0</v>
      </c>
      <c r="P69" s="123">
        <v>0</v>
      </c>
      <c r="Q69" s="173"/>
      <c r="R69" s="18"/>
    </row>
    <row r="70" spans="1:18" ht="15.75" thickBot="1">
      <c r="A70" s="29" t="s">
        <v>172</v>
      </c>
      <c r="B70" s="340" t="s">
        <v>154</v>
      </c>
      <c r="C70" s="341"/>
      <c r="D70" s="342"/>
      <c r="E70" s="113"/>
      <c r="F70" s="108"/>
      <c r="G70" s="13"/>
      <c r="H70" s="15"/>
      <c r="I70" s="15"/>
      <c r="J70" s="15"/>
      <c r="K70" s="15">
        <f>0+J70</f>
        <v>0</v>
      </c>
      <c r="L70" s="15">
        <f>0+K70</f>
        <v>0</v>
      </c>
      <c r="M70" s="119">
        <f t="shared" si="8"/>
        <v>0</v>
      </c>
      <c r="N70" s="124">
        <f t="shared" si="8"/>
        <v>0</v>
      </c>
      <c r="O70" s="31">
        <v>0</v>
      </c>
      <c r="P70" s="123">
        <v>0</v>
      </c>
      <c r="Q70" s="173"/>
      <c r="R70" s="18"/>
    </row>
    <row r="71" spans="1:18" ht="23.25" customHeight="1" thickBot="1">
      <c r="A71" s="30" t="s">
        <v>69</v>
      </c>
      <c r="B71" s="508" t="s">
        <v>227</v>
      </c>
      <c r="C71" s="509"/>
      <c r="D71" s="510"/>
      <c r="E71" s="81">
        <v>0</v>
      </c>
      <c r="F71" s="114">
        <f>18000+E71</f>
        <v>18000</v>
      </c>
      <c r="G71" s="32">
        <f>G72+G73</f>
        <v>0</v>
      </c>
      <c r="H71" s="23"/>
      <c r="I71" s="23"/>
      <c r="J71" s="23"/>
      <c r="K71" s="23">
        <f>G71</f>
        <v>0</v>
      </c>
      <c r="L71" s="23">
        <f>L72</f>
        <v>21564.52</v>
      </c>
      <c r="M71" s="120">
        <f t="shared" si="8"/>
        <v>0</v>
      </c>
      <c r="N71" s="125">
        <f t="shared" si="8"/>
        <v>-3564.5200000000004</v>
      </c>
      <c r="O71" s="26">
        <v>0</v>
      </c>
      <c r="P71" s="27">
        <v>0</v>
      </c>
      <c r="Q71" s="173"/>
      <c r="R71" s="173"/>
    </row>
    <row r="72" spans="1:18" ht="15.75" thickBot="1">
      <c r="A72" s="29" t="s">
        <v>169</v>
      </c>
      <c r="B72" s="340" t="s">
        <v>152</v>
      </c>
      <c r="C72" s="341"/>
      <c r="D72" s="342"/>
      <c r="E72" s="112">
        <v>0</v>
      </c>
      <c r="F72" s="108">
        <f>18000+E72</f>
        <v>18000</v>
      </c>
      <c r="G72" s="13"/>
      <c r="H72" s="15"/>
      <c r="I72" s="15"/>
      <c r="J72" s="15"/>
      <c r="K72" s="15">
        <f>G72</f>
        <v>0</v>
      </c>
      <c r="L72" s="15">
        <f>21564.52+K72</f>
        <v>21564.52</v>
      </c>
      <c r="M72" s="119">
        <f aca="true" t="shared" si="9" ref="M72:N82">E72-K72</f>
        <v>0</v>
      </c>
      <c r="N72" s="124">
        <f t="shared" si="9"/>
        <v>-3564.5200000000004</v>
      </c>
      <c r="O72" s="31">
        <v>0</v>
      </c>
      <c r="P72" s="123">
        <v>0</v>
      </c>
      <c r="Q72" s="173"/>
      <c r="R72" s="173"/>
    </row>
    <row r="73" spans="1:18" ht="15.75" thickBot="1">
      <c r="A73" s="29" t="s">
        <v>172</v>
      </c>
      <c r="B73" s="340" t="s">
        <v>154</v>
      </c>
      <c r="C73" s="341"/>
      <c r="D73" s="342"/>
      <c r="E73" s="113"/>
      <c r="F73" s="108"/>
      <c r="G73" s="13"/>
      <c r="H73" s="15"/>
      <c r="I73" s="15"/>
      <c r="J73" s="15"/>
      <c r="K73" s="15">
        <f>0+J73</f>
        <v>0</v>
      </c>
      <c r="L73" s="15">
        <f>0+K73</f>
        <v>0</v>
      </c>
      <c r="M73" s="119">
        <f t="shared" si="9"/>
        <v>0</v>
      </c>
      <c r="N73" s="124">
        <f t="shared" si="9"/>
        <v>0</v>
      </c>
      <c r="O73" s="31">
        <v>0</v>
      </c>
      <c r="P73" s="123">
        <v>0</v>
      </c>
      <c r="Q73" s="173"/>
      <c r="R73" s="173"/>
    </row>
    <row r="74" spans="1:18" ht="31.5" customHeight="1" thickBot="1">
      <c r="A74" s="30" t="s">
        <v>71</v>
      </c>
      <c r="B74" s="508" t="s">
        <v>72</v>
      </c>
      <c r="C74" s="509"/>
      <c r="D74" s="510"/>
      <c r="E74" s="81">
        <f>E75</f>
        <v>31000</v>
      </c>
      <c r="F74" s="114">
        <f>180000+E74</f>
        <v>211000</v>
      </c>
      <c r="G74" s="32">
        <f>G75+G76+G77</f>
        <v>7836.92</v>
      </c>
      <c r="H74" s="23"/>
      <c r="I74" s="23">
        <f>I75+I76</f>
        <v>0</v>
      </c>
      <c r="J74" s="23"/>
      <c r="K74" s="23">
        <f>K75+K76+K77</f>
        <v>7836.92</v>
      </c>
      <c r="L74" s="23">
        <f>L75+L76+L77</f>
        <v>223186.42</v>
      </c>
      <c r="M74" s="120">
        <f t="shared" si="9"/>
        <v>23163.08</v>
      </c>
      <c r="N74" s="125">
        <f t="shared" si="9"/>
        <v>-12186.420000000013</v>
      </c>
      <c r="O74" s="26">
        <v>0</v>
      </c>
      <c r="P74" s="27">
        <v>0</v>
      </c>
      <c r="Q74" s="173"/>
      <c r="R74" s="173"/>
    </row>
    <row r="75" spans="1:18" ht="30" customHeight="1" thickBot="1">
      <c r="A75" s="29" t="s">
        <v>173</v>
      </c>
      <c r="B75" s="340" t="s">
        <v>152</v>
      </c>
      <c r="C75" s="341"/>
      <c r="D75" s="342"/>
      <c r="E75" s="112">
        <v>31000</v>
      </c>
      <c r="F75" s="108">
        <f>180000+E75</f>
        <v>211000</v>
      </c>
      <c r="G75" s="13">
        <v>7836.92</v>
      </c>
      <c r="H75" s="15"/>
      <c r="I75" s="15"/>
      <c r="J75" s="15"/>
      <c r="K75" s="15">
        <f>G75</f>
        <v>7836.92</v>
      </c>
      <c r="L75" s="15">
        <f>215349.5+K75</f>
        <v>223186.42</v>
      </c>
      <c r="M75" s="119">
        <f t="shared" si="9"/>
        <v>23163.08</v>
      </c>
      <c r="N75" s="124">
        <f t="shared" si="9"/>
        <v>-12186.420000000013</v>
      </c>
      <c r="O75" s="31">
        <v>0</v>
      </c>
      <c r="P75" s="123">
        <v>0</v>
      </c>
      <c r="Q75" s="173"/>
      <c r="R75" s="173"/>
    </row>
    <row r="76" spans="1:18" ht="30" customHeight="1" thickBot="1">
      <c r="A76" s="29" t="s">
        <v>174</v>
      </c>
      <c r="B76" s="340" t="s">
        <v>171</v>
      </c>
      <c r="C76" s="341"/>
      <c r="D76" s="342"/>
      <c r="E76" s="113"/>
      <c r="F76" s="108"/>
      <c r="G76" s="13"/>
      <c r="H76" s="15"/>
      <c r="I76" s="15"/>
      <c r="J76" s="15"/>
      <c r="K76" s="15">
        <f>I76</f>
        <v>0</v>
      </c>
      <c r="L76" s="15">
        <f aca="true" t="shared" si="10" ref="K76:L82">0+K76</f>
        <v>0</v>
      </c>
      <c r="M76" s="119">
        <f t="shared" si="9"/>
        <v>0</v>
      </c>
      <c r="N76" s="124">
        <f t="shared" si="9"/>
        <v>0</v>
      </c>
      <c r="O76" s="31">
        <v>0</v>
      </c>
      <c r="P76" s="123">
        <v>0</v>
      </c>
      <c r="Q76" s="173"/>
      <c r="R76" s="173"/>
    </row>
    <row r="77" spans="1:18" ht="26.25" customHeight="1" thickBot="1">
      <c r="A77" s="29" t="s">
        <v>175</v>
      </c>
      <c r="B77" s="96" t="s">
        <v>154</v>
      </c>
      <c r="C77" s="97"/>
      <c r="D77" s="98"/>
      <c r="E77" s="112"/>
      <c r="F77" s="108"/>
      <c r="G77" s="13"/>
      <c r="H77" s="15"/>
      <c r="I77" s="15"/>
      <c r="J77" s="15"/>
      <c r="K77" s="15">
        <f t="shared" si="10"/>
        <v>0</v>
      </c>
      <c r="L77" s="15">
        <f t="shared" si="10"/>
        <v>0</v>
      </c>
      <c r="M77" s="119">
        <f t="shared" si="9"/>
        <v>0</v>
      </c>
      <c r="N77" s="124">
        <f t="shared" si="9"/>
        <v>0</v>
      </c>
      <c r="O77" s="31">
        <v>0</v>
      </c>
      <c r="P77" s="123">
        <v>0</v>
      </c>
      <c r="Q77" s="173"/>
      <c r="R77" s="173"/>
    </row>
    <row r="78" spans="1:18" ht="48.75" customHeight="1" thickBot="1">
      <c r="A78" s="128" t="s">
        <v>73</v>
      </c>
      <c r="B78" s="395" t="s">
        <v>74</v>
      </c>
      <c r="C78" s="396"/>
      <c r="D78" s="397"/>
      <c r="E78" s="81">
        <f>E79</f>
        <v>0</v>
      </c>
      <c r="F78" s="114">
        <f>F79</f>
        <v>1500</v>
      </c>
      <c r="G78" s="32"/>
      <c r="H78" s="23"/>
      <c r="I78" s="23"/>
      <c r="J78" s="23"/>
      <c r="K78" s="23">
        <f t="shared" si="10"/>
        <v>0</v>
      </c>
      <c r="L78" s="23">
        <f t="shared" si="10"/>
        <v>0</v>
      </c>
      <c r="M78" s="120">
        <f t="shared" si="9"/>
        <v>0</v>
      </c>
      <c r="N78" s="125">
        <f t="shared" si="9"/>
        <v>1500</v>
      </c>
      <c r="O78" s="26">
        <v>0</v>
      </c>
      <c r="P78" s="27">
        <v>0</v>
      </c>
      <c r="Q78" s="173"/>
      <c r="R78" s="173"/>
    </row>
    <row r="79" spans="1:18" ht="27.75" customHeight="1" thickBot="1">
      <c r="A79" s="29" t="s">
        <v>176</v>
      </c>
      <c r="B79" s="340" t="s">
        <v>152</v>
      </c>
      <c r="C79" s="341"/>
      <c r="D79" s="342"/>
      <c r="E79" s="113">
        <v>0</v>
      </c>
      <c r="F79" s="108">
        <f>1500+E79</f>
        <v>1500</v>
      </c>
      <c r="G79" s="13"/>
      <c r="H79" s="15"/>
      <c r="I79" s="15"/>
      <c r="J79" s="15"/>
      <c r="K79" s="15">
        <f t="shared" si="10"/>
        <v>0</v>
      </c>
      <c r="L79" s="15">
        <f t="shared" si="10"/>
        <v>0</v>
      </c>
      <c r="M79" s="119">
        <f t="shared" si="9"/>
        <v>0</v>
      </c>
      <c r="N79" s="124">
        <f t="shared" si="9"/>
        <v>1500</v>
      </c>
      <c r="O79" s="31">
        <v>0</v>
      </c>
      <c r="P79" s="123">
        <v>0</v>
      </c>
      <c r="Q79" s="173"/>
      <c r="R79" s="173"/>
    </row>
    <row r="80" spans="1:18" ht="23.25" customHeight="1" thickBot="1">
      <c r="A80" s="128" t="s">
        <v>75</v>
      </c>
      <c r="B80" s="395" t="s">
        <v>76</v>
      </c>
      <c r="C80" s="396"/>
      <c r="D80" s="397"/>
      <c r="E80" s="81">
        <f>E81</f>
        <v>0</v>
      </c>
      <c r="F80" s="114">
        <f>F81</f>
        <v>18500</v>
      </c>
      <c r="G80" s="32"/>
      <c r="H80" s="23"/>
      <c r="I80" s="23"/>
      <c r="J80" s="23"/>
      <c r="K80" s="23">
        <f t="shared" si="10"/>
        <v>0</v>
      </c>
      <c r="L80" s="23">
        <f>0+K80</f>
        <v>0</v>
      </c>
      <c r="M80" s="120">
        <f t="shared" si="9"/>
        <v>0</v>
      </c>
      <c r="N80" s="125">
        <f t="shared" si="9"/>
        <v>18500</v>
      </c>
      <c r="O80" s="26">
        <v>0</v>
      </c>
      <c r="P80" s="27">
        <v>0</v>
      </c>
      <c r="Q80" s="173"/>
      <c r="R80" s="173"/>
    </row>
    <row r="81" spans="1:18" ht="25.5" customHeight="1" thickBot="1">
      <c r="A81" s="29" t="s">
        <v>177</v>
      </c>
      <c r="B81" s="340" t="s">
        <v>152</v>
      </c>
      <c r="C81" s="341"/>
      <c r="D81" s="342"/>
      <c r="E81" s="113">
        <v>0</v>
      </c>
      <c r="F81" s="108">
        <f>18500+E81</f>
        <v>18500</v>
      </c>
      <c r="G81" s="198"/>
      <c r="H81" s="199"/>
      <c r="I81" s="93"/>
      <c r="J81" s="199"/>
      <c r="K81" s="15">
        <f t="shared" si="10"/>
        <v>0</v>
      </c>
      <c r="L81" s="15">
        <f>0+K81</f>
        <v>0</v>
      </c>
      <c r="M81" s="119">
        <f t="shared" si="9"/>
        <v>0</v>
      </c>
      <c r="N81" s="124">
        <f t="shared" si="9"/>
        <v>18500</v>
      </c>
      <c r="O81" s="31">
        <v>0</v>
      </c>
      <c r="P81" s="123">
        <v>0</v>
      </c>
      <c r="Q81" s="173"/>
      <c r="R81" s="173"/>
    </row>
    <row r="82" spans="1:18" ht="22.5" customHeight="1" thickBot="1">
      <c r="A82" s="29" t="s">
        <v>178</v>
      </c>
      <c r="B82" s="96" t="s">
        <v>154</v>
      </c>
      <c r="C82" s="97"/>
      <c r="D82" s="98"/>
      <c r="E82" s="113"/>
      <c r="F82" s="15"/>
      <c r="G82" s="13"/>
      <c r="H82" s="200"/>
      <c r="I82" s="15"/>
      <c r="J82" s="200"/>
      <c r="K82" s="15">
        <f t="shared" si="10"/>
        <v>0</v>
      </c>
      <c r="L82" s="15">
        <f t="shared" si="10"/>
        <v>0</v>
      </c>
      <c r="M82" s="119">
        <f t="shared" si="9"/>
        <v>0</v>
      </c>
      <c r="N82" s="124">
        <f t="shared" si="9"/>
        <v>0</v>
      </c>
      <c r="O82" s="31">
        <v>0</v>
      </c>
      <c r="P82" s="123">
        <v>0</v>
      </c>
      <c r="Q82" s="173"/>
      <c r="R82" s="173"/>
    </row>
    <row r="83" spans="1:18" ht="15">
      <c r="A83" s="398"/>
      <c r="B83" s="591" t="s">
        <v>30</v>
      </c>
      <c r="C83" s="592"/>
      <c r="D83" s="592"/>
      <c r="E83" s="592"/>
      <c r="F83" s="592"/>
      <c r="G83" s="592"/>
      <c r="H83" s="592"/>
      <c r="I83" s="592"/>
      <c r="J83" s="592"/>
      <c r="K83" s="592"/>
      <c r="L83" s="592"/>
      <c r="M83" s="592"/>
      <c r="N83" s="592"/>
      <c r="O83" s="592"/>
      <c r="P83" s="593"/>
      <c r="Q83" s="173"/>
      <c r="R83" s="173"/>
    </row>
    <row r="84" spans="1:18" ht="4.5" customHeight="1" thickBot="1">
      <c r="A84" s="399"/>
      <c r="B84" s="594"/>
      <c r="C84" s="595"/>
      <c r="D84" s="595"/>
      <c r="E84" s="595"/>
      <c r="F84" s="595"/>
      <c r="G84" s="595"/>
      <c r="H84" s="595"/>
      <c r="I84" s="595"/>
      <c r="J84" s="595"/>
      <c r="K84" s="595"/>
      <c r="L84" s="595"/>
      <c r="M84" s="595"/>
      <c r="N84" s="595"/>
      <c r="O84" s="595"/>
      <c r="P84" s="596"/>
      <c r="Q84" s="173"/>
      <c r="R84" s="173"/>
    </row>
    <row r="85" spans="1:18" ht="15.75" thickBot="1">
      <c r="A85" s="398"/>
      <c r="B85" s="550" t="s">
        <v>14</v>
      </c>
      <c r="C85" s="551"/>
      <c r="D85" s="552"/>
      <c r="E85" s="581" t="s">
        <v>24</v>
      </c>
      <c r="F85" s="583" t="s">
        <v>25</v>
      </c>
      <c r="G85" s="532" t="s">
        <v>31</v>
      </c>
      <c r="H85" s="522"/>
      <c r="I85" s="522"/>
      <c r="J85" s="522"/>
      <c r="K85" s="533"/>
      <c r="L85" s="534" t="s">
        <v>16</v>
      </c>
      <c r="M85" s="534" t="s">
        <v>17</v>
      </c>
      <c r="N85" s="534" t="s">
        <v>18</v>
      </c>
      <c r="O85" s="534" t="s">
        <v>19</v>
      </c>
      <c r="P85" s="534" t="s">
        <v>20</v>
      </c>
      <c r="Q85" s="173"/>
      <c r="R85" s="173"/>
    </row>
    <row r="86" spans="1:18" ht="74.25" customHeight="1" thickBot="1">
      <c r="A86" s="399"/>
      <c r="B86" s="553"/>
      <c r="C86" s="554"/>
      <c r="D86" s="555"/>
      <c r="E86" s="582"/>
      <c r="F86" s="584"/>
      <c r="G86" s="273" t="s">
        <v>32</v>
      </c>
      <c r="H86" s="273" t="s">
        <v>33</v>
      </c>
      <c r="I86" s="273" t="s">
        <v>34</v>
      </c>
      <c r="J86" s="175" t="s">
        <v>77</v>
      </c>
      <c r="K86" s="176" t="s">
        <v>27</v>
      </c>
      <c r="L86" s="535"/>
      <c r="M86" s="535"/>
      <c r="N86" s="535"/>
      <c r="O86" s="535"/>
      <c r="P86" s="535"/>
      <c r="Q86" s="173"/>
      <c r="R86" s="173"/>
    </row>
    <row r="87" spans="1:18" ht="15.75" thickBot="1">
      <c r="A87" s="29"/>
      <c r="B87" s="536">
        <v>1</v>
      </c>
      <c r="C87" s="537"/>
      <c r="D87" s="538"/>
      <c r="E87" s="180" t="s">
        <v>22</v>
      </c>
      <c r="F87" s="273">
        <v>3</v>
      </c>
      <c r="G87" s="273">
        <v>4</v>
      </c>
      <c r="H87" s="273">
        <v>5</v>
      </c>
      <c r="I87" s="175">
        <v>6</v>
      </c>
      <c r="J87" s="175">
        <v>7</v>
      </c>
      <c r="K87" s="192">
        <v>8</v>
      </c>
      <c r="L87" s="277">
        <v>9</v>
      </c>
      <c r="M87" s="175">
        <v>10</v>
      </c>
      <c r="N87" s="277">
        <v>11</v>
      </c>
      <c r="O87" s="175">
        <v>12</v>
      </c>
      <c r="P87" s="277">
        <v>13</v>
      </c>
      <c r="Q87" s="173"/>
      <c r="R87" s="173"/>
    </row>
    <row r="88" spans="1:18" ht="40.5" customHeight="1" thickBot="1">
      <c r="A88" s="22" t="s">
        <v>78</v>
      </c>
      <c r="B88" s="395" t="s">
        <v>79</v>
      </c>
      <c r="C88" s="396"/>
      <c r="D88" s="397"/>
      <c r="E88" s="81">
        <f>E89</f>
        <v>24555</v>
      </c>
      <c r="F88" s="114">
        <f>165330+E88</f>
        <v>189885</v>
      </c>
      <c r="G88" s="81">
        <f>G89+G90+G91+G92</f>
        <v>19566.58</v>
      </c>
      <c r="H88" s="23"/>
      <c r="I88" s="23">
        <f>I89+I90+I91</f>
        <v>0</v>
      </c>
      <c r="J88" s="23"/>
      <c r="K88" s="83">
        <f>K89+K90+K91+K92</f>
        <v>19566.58</v>
      </c>
      <c r="L88" s="23">
        <f>239173.69+K88</f>
        <v>258740.27000000002</v>
      </c>
      <c r="M88" s="120">
        <f aca="true" t="shared" si="11" ref="M88:N103">E88-K88</f>
        <v>4988.419999999998</v>
      </c>
      <c r="N88" s="125">
        <f t="shared" si="11"/>
        <v>-68855.27000000002</v>
      </c>
      <c r="O88" s="26">
        <v>0</v>
      </c>
      <c r="P88" s="27">
        <v>0</v>
      </c>
      <c r="Q88" s="18"/>
      <c r="R88" s="173"/>
    </row>
    <row r="89" spans="1:18" ht="15.75" thickBot="1">
      <c r="A89" s="29" t="s">
        <v>179</v>
      </c>
      <c r="B89" s="340" t="s">
        <v>152</v>
      </c>
      <c r="C89" s="341"/>
      <c r="D89" s="342"/>
      <c r="E89" s="112">
        <f>E93+E94+E96+E97+E98+E100+E99+E95</f>
        <v>24555</v>
      </c>
      <c r="F89" s="108">
        <f>165330+E89</f>
        <v>189885</v>
      </c>
      <c r="G89" s="82">
        <f>G93+G94+G96+G97+G98+G99+G100</f>
        <v>19566.58</v>
      </c>
      <c r="H89" s="15"/>
      <c r="I89" s="15"/>
      <c r="J89" s="15"/>
      <c r="K89" s="84">
        <f>G89</f>
        <v>19566.58</v>
      </c>
      <c r="L89" s="15">
        <f>L93+L94+L96+L97+L98+L99+L100+L95</f>
        <v>258740.27</v>
      </c>
      <c r="M89" s="119">
        <f t="shared" si="11"/>
        <v>4988.419999999998</v>
      </c>
      <c r="N89" s="124">
        <f t="shared" si="11"/>
        <v>-68855.26999999999</v>
      </c>
      <c r="O89" s="31">
        <v>0</v>
      </c>
      <c r="P89" s="123">
        <v>0</v>
      </c>
      <c r="Q89" s="18"/>
      <c r="R89" s="173"/>
    </row>
    <row r="90" spans="1:18" ht="15.75" thickBot="1">
      <c r="A90" s="29" t="s">
        <v>180</v>
      </c>
      <c r="B90" s="390" t="s">
        <v>151</v>
      </c>
      <c r="C90" s="391"/>
      <c r="D90" s="392"/>
      <c r="E90" s="112"/>
      <c r="F90" s="108"/>
      <c r="G90" s="82"/>
      <c r="H90" s="15"/>
      <c r="I90" s="15"/>
      <c r="J90" s="15"/>
      <c r="K90" s="84">
        <f aca="true" t="shared" si="12" ref="K90:K99">G90</f>
        <v>0</v>
      </c>
      <c r="L90" s="15">
        <f aca="true" t="shared" si="13" ref="L90:L120">0+K90</f>
        <v>0</v>
      </c>
      <c r="M90" s="119">
        <f t="shared" si="11"/>
        <v>0</v>
      </c>
      <c r="N90" s="124">
        <f t="shared" si="11"/>
        <v>0</v>
      </c>
      <c r="O90" s="31">
        <v>0</v>
      </c>
      <c r="P90" s="123">
        <v>0</v>
      </c>
      <c r="Q90" s="18"/>
      <c r="R90" s="173"/>
    </row>
    <row r="91" spans="1:18" ht="28.5" customHeight="1" thickBot="1">
      <c r="A91" s="29" t="s">
        <v>181</v>
      </c>
      <c r="B91" s="340" t="s">
        <v>171</v>
      </c>
      <c r="C91" s="341"/>
      <c r="D91" s="342"/>
      <c r="E91" s="112"/>
      <c r="F91" s="108"/>
      <c r="G91" s="82"/>
      <c r="H91" s="15"/>
      <c r="I91" s="15">
        <f>I97</f>
        <v>0</v>
      </c>
      <c r="J91" s="15"/>
      <c r="K91" s="84">
        <f>I91</f>
        <v>0</v>
      </c>
      <c r="L91" s="15">
        <f t="shared" si="13"/>
        <v>0</v>
      </c>
      <c r="M91" s="119">
        <f t="shared" si="11"/>
        <v>0</v>
      </c>
      <c r="N91" s="124">
        <f t="shared" si="11"/>
        <v>0</v>
      </c>
      <c r="O91" s="31">
        <v>0</v>
      </c>
      <c r="P91" s="123">
        <v>0</v>
      </c>
      <c r="Q91" s="18"/>
      <c r="R91" s="173"/>
    </row>
    <row r="92" spans="1:18" ht="15.75" thickBot="1">
      <c r="A92" s="29" t="s">
        <v>182</v>
      </c>
      <c r="B92" s="340" t="s">
        <v>154</v>
      </c>
      <c r="C92" s="341"/>
      <c r="D92" s="342"/>
      <c r="E92" s="112"/>
      <c r="F92" s="108"/>
      <c r="G92" s="82"/>
      <c r="H92" s="15"/>
      <c r="I92" s="15"/>
      <c r="J92" s="15"/>
      <c r="K92" s="84">
        <f t="shared" si="12"/>
        <v>0</v>
      </c>
      <c r="L92" s="15">
        <f t="shared" si="13"/>
        <v>0</v>
      </c>
      <c r="M92" s="119">
        <f t="shared" si="11"/>
        <v>0</v>
      </c>
      <c r="N92" s="124">
        <f t="shared" si="11"/>
        <v>0</v>
      </c>
      <c r="O92" s="31">
        <v>0</v>
      </c>
      <c r="P92" s="123">
        <v>0</v>
      </c>
      <c r="Q92" s="18"/>
      <c r="R92" s="196">
        <f>L93+L94+L95+L96+L97+L98+L99+L100</f>
        <v>258740.27</v>
      </c>
    </row>
    <row r="93" spans="1:18" ht="15.75" thickBot="1">
      <c r="A93" s="29" t="s">
        <v>80</v>
      </c>
      <c r="B93" s="359" t="s">
        <v>81</v>
      </c>
      <c r="C93" s="360"/>
      <c r="D93" s="361"/>
      <c r="E93" s="108">
        <v>3000</v>
      </c>
      <c r="F93" s="108">
        <f>21000+E93</f>
        <v>24000</v>
      </c>
      <c r="G93" s="82">
        <v>6000</v>
      </c>
      <c r="H93" s="13"/>
      <c r="I93" s="13"/>
      <c r="J93" s="13"/>
      <c r="K93" s="84">
        <f t="shared" si="12"/>
        <v>6000</v>
      </c>
      <c r="L93" s="15">
        <f>18000+K93</f>
        <v>24000</v>
      </c>
      <c r="M93" s="119">
        <f t="shared" si="11"/>
        <v>-3000</v>
      </c>
      <c r="N93" s="124">
        <f t="shared" si="11"/>
        <v>0</v>
      </c>
      <c r="O93" s="31">
        <v>0</v>
      </c>
      <c r="P93" s="123">
        <v>0</v>
      </c>
      <c r="Q93" s="173"/>
      <c r="R93" s="18">
        <f>L89+L90+L91+L92</f>
        <v>258740.27</v>
      </c>
    </row>
    <row r="94" spans="1:18" ht="28.5" customHeight="1" thickBot="1">
      <c r="A94" s="29" t="s">
        <v>82</v>
      </c>
      <c r="B94" s="387" t="s">
        <v>209</v>
      </c>
      <c r="C94" s="388"/>
      <c r="D94" s="389"/>
      <c r="E94" s="108">
        <v>4400</v>
      </c>
      <c r="F94" s="108">
        <f>30800+E94</f>
        <v>35200</v>
      </c>
      <c r="G94" s="82"/>
      <c r="H94" s="13"/>
      <c r="I94" s="13"/>
      <c r="J94" s="13"/>
      <c r="K94" s="84">
        <f>G94</f>
        <v>0</v>
      </c>
      <c r="L94" s="15">
        <f>26400+K94</f>
        <v>26400</v>
      </c>
      <c r="M94" s="119">
        <f t="shared" si="11"/>
        <v>4400</v>
      </c>
      <c r="N94" s="124">
        <f t="shared" si="11"/>
        <v>8800</v>
      </c>
      <c r="O94" s="31">
        <v>0</v>
      </c>
      <c r="P94" s="123">
        <v>0</v>
      </c>
      <c r="Q94" s="173"/>
      <c r="R94" s="173"/>
    </row>
    <row r="95" spans="1:18" ht="28.5" customHeight="1" thickBot="1">
      <c r="A95" s="29" t="s">
        <v>83</v>
      </c>
      <c r="B95" s="359" t="s">
        <v>231</v>
      </c>
      <c r="C95" s="360"/>
      <c r="D95" s="361"/>
      <c r="E95" s="108"/>
      <c r="F95" s="108">
        <f>0+E95</f>
        <v>0</v>
      </c>
      <c r="G95" s="82"/>
      <c r="H95" s="13"/>
      <c r="I95" s="13"/>
      <c r="J95" s="13"/>
      <c r="K95" s="84">
        <f t="shared" si="12"/>
        <v>0</v>
      </c>
      <c r="L95" s="15">
        <f>77795+K95</f>
        <v>77795</v>
      </c>
      <c r="M95" s="119">
        <f t="shared" si="11"/>
        <v>0</v>
      </c>
      <c r="N95" s="124">
        <f t="shared" si="11"/>
        <v>-77795</v>
      </c>
      <c r="O95" s="31">
        <v>0</v>
      </c>
      <c r="P95" s="123">
        <v>0</v>
      </c>
      <c r="Q95" s="173"/>
      <c r="R95" s="173"/>
    </row>
    <row r="96" spans="1:18" ht="19.5" customHeight="1" thickBot="1">
      <c r="A96" s="29" t="s">
        <v>85</v>
      </c>
      <c r="B96" s="359" t="s">
        <v>86</v>
      </c>
      <c r="C96" s="360"/>
      <c r="D96" s="361"/>
      <c r="E96" s="108">
        <v>1355</v>
      </c>
      <c r="F96" s="108">
        <f>9485+E96</f>
        <v>10840</v>
      </c>
      <c r="G96" s="82">
        <v>1355</v>
      </c>
      <c r="H96" s="13"/>
      <c r="I96" s="13"/>
      <c r="J96" s="13"/>
      <c r="K96" s="84">
        <f t="shared" si="12"/>
        <v>1355</v>
      </c>
      <c r="L96" s="15">
        <f>6600+K96</f>
        <v>7955</v>
      </c>
      <c r="M96" s="119">
        <f t="shared" si="11"/>
        <v>0</v>
      </c>
      <c r="N96" s="124">
        <f t="shared" si="11"/>
        <v>2885</v>
      </c>
      <c r="O96" s="31">
        <v>0</v>
      </c>
      <c r="P96" s="123">
        <v>0</v>
      </c>
      <c r="Q96" s="173"/>
      <c r="R96" s="173"/>
    </row>
    <row r="97" spans="1:18" ht="21.75" customHeight="1" thickBot="1">
      <c r="A97" s="29" t="s">
        <v>87</v>
      </c>
      <c r="B97" s="359" t="s">
        <v>88</v>
      </c>
      <c r="C97" s="360"/>
      <c r="D97" s="361"/>
      <c r="E97" s="108">
        <v>4500</v>
      </c>
      <c r="F97" s="108">
        <f>49500+E97</f>
        <v>54000</v>
      </c>
      <c r="G97" s="82">
        <v>2746.15</v>
      </c>
      <c r="H97" s="13"/>
      <c r="I97" s="13"/>
      <c r="J97" s="13"/>
      <c r="K97" s="84">
        <f>G97+I97</f>
        <v>2746.15</v>
      </c>
      <c r="L97" s="15">
        <f>40868.6+K97</f>
        <v>43614.75</v>
      </c>
      <c r="M97" s="119">
        <f t="shared" si="11"/>
        <v>1753.85</v>
      </c>
      <c r="N97" s="124">
        <f t="shared" si="11"/>
        <v>10385.25</v>
      </c>
      <c r="O97" s="31">
        <v>0</v>
      </c>
      <c r="P97" s="123">
        <v>0</v>
      </c>
      <c r="Q97" s="173"/>
      <c r="R97" s="248">
        <f>F93+F94+F95+F96+F97+F98+F99+F100</f>
        <v>214440</v>
      </c>
    </row>
    <row r="98" spans="1:16" ht="20.25" customHeight="1" thickBot="1">
      <c r="A98" s="29" t="s">
        <v>89</v>
      </c>
      <c r="B98" s="359" t="s">
        <v>90</v>
      </c>
      <c r="C98" s="360"/>
      <c r="D98" s="361"/>
      <c r="E98" s="108">
        <v>1500</v>
      </c>
      <c r="F98" s="108">
        <f>10500+E98</f>
        <v>12000</v>
      </c>
      <c r="G98" s="82">
        <v>2772</v>
      </c>
      <c r="H98" s="13"/>
      <c r="I98" s="13"/>
      <c r="J98" s="13"/>
      <c r="K98" s="84">
        <f t="shared" si="12"/>
        <v>2772</v>
      </c>
      <c r="L98" s="15">
        <f>16632+K98</f>
        <v>19404</v>
      </c>
      <c r="M98" s="119">
        <f t="shared" si="11"/>
        <v>-1272</v>
      </c>
      <c r="N98" s="124">
        <f t="shared" si="11"/>
        <v>-7404</v>
      </c>
      <c r="O98" s="31">
        <v>0</v>
      </c>
      <c r="P98" s="123">
        <v>0</v>
      </c>
    </row>
    <row r="99" spans="1:16" ht="32.25" customHeight="1" thickBot="1">
      <c r="A99" s="29" t="s">
        <v>91</v>
      </c>
      <c r="B99" s="359" t="s">
        <v>92</v>
      </c>
      <c r="C99" s="360"/>
      <c r="D99" s="361"/>
      <c r="E99" s="108">
        <v>0</v>
      </c>
      <c r="F99" s="108">
        <f>0+E99</f>
        <v>0</v>
      </c>
      <c r="G99" s="82"/>
      <c r="H99" s="13"/>
      <c r="I99" s="13"/>
      <c r="J99" s="13"/>
      <c r="K99" s="84">
        <f t="shared" si="12"/>
        <v>0</v>
      </c>
      <c r="L99" s="15">
        <f t="shared" si="13"/>
        <v>0</v>
      </c>
      <c r="M99" s="119">
        <f t="shared" si="11"/>
        <v>0</v>
      </c>
      <c r="N99" s="124">
        <f t="shared" si="11"/>
        <v>0</v>
      </c>
      <c r="O99" s="31">
        <v>0</v>
      </c>
      <c r="P99" s="123">
        <v>0</v>
      </c>
    </row>
    <row r="100" spans="1:16" ht="23.25" customHeight="1" thickBot="1">
      <c r="A100" s="29" t="s">
        <v>93</v>
      </c>
      <c r="B100" s="359" t="s">
        <v>94</v>
      </c>
      <c r="C100" s="360"/>
      <c r="D100" s="361"/>
      <c r="E100" s="108">
        <v>9800</v>
      </c>
      <c r="F100" s="108">
        <f>68600+E100</f>
        <v>78400</v>
      </c>
      <c r="G100" s="82">
        <v>6693.43</v>
      </c>
      <c r="H100" s="13"/>
      <c r="I100" s="13"/>
      <c r="J100" s="13"/>
      <c r="K100" s="84">
        <f>G100</f>
        <v>6693.43</v>
      </c>
      <c r="L100" s="15">
        <f>52878.09+K100</f>
        <v>59571.52</v>
      </c>
      <c r="M100" s="119">
        <f t="shared" si="11"/>
        <v>3106.5699999999997</v>
      </c>
      <c r="N100" s="124">
        <f t="shared" si="11"/>
        <v>18828.480000000003</v>
      </c>
      <c r="O100" s="31">
        <v>0</v>
      </c>
      <c r="P100" s="123">
        <v>0</v>
      </c>
    </row>
    <row r="101" spans="1:18" ht="33" customHeight="1" thickBot="1">
      <c r="A101" s="56" t="s">
        <v>95</v>
      </c>
      <c r="B101" s="425" t="s">
        <v>96</v>
      </c>
      <c r="C101" s="323"/>
      <c r="D101" s="324"/>
      <c r="E101" s="114">
        <f>E102+E103</f>
        <v>14251</v>
      </c>
      <c r="F101" s="114">
        <f>595702+E101</f>
        <v>609953</v>
      </c>
      <c r="G101" s="114">
        <f>G102+G104+G105</f>
        <v>940.13</v>
      </c>
      <c r="H101" s="32">
        <f>H103</f>
        <v>0</v>
      </c>
      <c r="I101" s="23">
        <f>I104</f>
        <v>0</v>
      </c>
      <c r="J101" s="23"/>
      <c r="K101" s="114">
        <f>G101+H101+I101+J101</f>
        <v>940.13</v>
      </c>
      <c r="L101" s="23">
        <f>L102+L103+L104+L105</f>
        <v>593530.11</v>
      </c>
      <c r="M101" s="120">
        <f t="shared" si="11"/>
        <v>13310.87</v>
      </c>
      <c r="N101" s="125">
        <f t="shared" si="11"/>
        <v>16422.890000000014</v>
      </c>
      <c r="O101" s="26">
        <v>0</v>
      </c>
      <c r="P101" s="27">
        <v>0</v>
      </c>
      <c r="R101" s="197">
        <f>L102+L104-L101</f>
        <v>-153006</v>
      </c>
    </row>
    <row r="102" spans="1:18" ht="15.75" thickBot="1">
      <c r="A102" s="29" t="s">
        <v>183</v>
      </c>
      <c r="B102" s="340" t="s">
        <v>152</v>
      </c>
      <c r="C102" s="341"/>
      <c r="D102" s="342"/>
      <c r="E102" s="112">
        <f>E106+E107+E114+E119+E131+E113+E128+E115+E120</f>
        <v>1500</v>
      </c>
      <c r="F102" s="108">
        <f>519200+E102</f>
        <v>520700</v>
      </c>
      <c r="G102" s="13">
        <f>G106+G107+G108+G109+G110+G111+G112+G113+G114+G115+G116+G117+G118+G119+G126+G127+G128+G129+G130+G131</f>
        <v>940.13</v>
      </c>
      <c r="H102" s="13"/>
      <c r="I102" s="15"/>
      <c r="J102" s="15"/>
      <c r="K102" s="84">
        <f>G102</f>
        <v>940.13</v>
      </c>
      <c r="L102" s="15">
        <f>326533.98+K102</f>
        <v>327474.11</v>
      </c>
      <c r="M102" s="119">
        <f t="shared" si="11"/>
        <v>559.87</v>
      </c>
      <c r="N102" s="124">
        <f t="shared" si="11"/>
        <v>193225.89</v>
      </c>
      <c r="O102" s="31">
        <v>0</v>
      </c>
      <c r="P102" s="123">
        <v>0</v>
      </c>
      <c r="R102" s="197"/>
    </row>
    <row r="103" spans="1:18" ht="15.75" thickBot="1">
      <c r="A103" s="29" t="s">
        <v>184</v>
      </c>
      <c r="B103" s="390" t="s">
        <v>151</v>
      </c>
      <c r="C103" s="391"/>
      <c r="D103" s="392"/>
      <c r="E103" s="112">
        <f>E129</f>
        <v>12751</v>
      </c>
      <c r="F103" s="108">
        <f>76502+E103</f>
        <v>89253</v>
      </c>
      <c r="G103" s="13"/>
      <c r="H103" s="13">
        <f>H129</f>
        <v>0</v>
      </c>
      <c r="I103" s="15"/>
      <c r="J103" s="15"/>
      <c r="K103" s="84">
        <f>H103</f>
        <v>0</v>
      </c>
      <c r="L103" s="15">
        <f>153006+K103</f>
        <v>153006</v>
      </c>
      <c r="M103" s="119">
        <f t="shared" si="11"/>
        <v>12751</v>
      </c>
      <c r="N103" s="124">
        <f t="shared" si="11"/>
        <v>-63753</v>
      </c>
      <c r="O103" s="31">
        <v>0</v>
      </c>
      <c r="P103" s="123">
        <v>0</v>
      </c>
      <c r="R103" s="201"/>
    </row>
    <row r="104" spans="1:16" ht="27.75" customHeight="1" thickBot="1">
      <c r="A104" s="29" t="s">
        <v>185</v>
      </c>
      <c r="B104" s="340" t="s">
        <v>171</v>
      </c>
      <c r="C104" s="341"/>
      <c r="D104" s="342"/>
      <c r="E104" s="112"/>
      <c r="F104" s="108"/>
      <c r="G104" s="108"/>
      <c r="H104" s="13"/>
      <c r="I104" s="15">
        <f>I128</f>
        <v>0</v>
      </c>
      <c r="J104" s="15"/>
      <c r="K104" s="84">
        <f>I104</f>
        <v>0</v>
      </c>
      <c r="L104" s="15">
        <f>113050+K104</f>
        <v>113050</v>
      </c>
      <c r="M104" s="119">
        <f aca="true" t="shared" si="14" ref="M104:N120">E104-K104</f>
        <v>0</v>
      </c>
      <c r="N104" s="124">
        <f t="shared" si="14"/>
        <v>-113050</v>
      </c>
      <c r="O104" s="31">
        <v>0</v>
      </c>
      <c r="P104" s="123">
        <v>0</v>
      </c>
    </row>
    <row r="105" spans="1:18" ht="15.75" thickBot="1">
      <c r="A105" s="29" t="s">
        <v>186</v>
      </c>
      <c r="B105" s="390" t="s">
        <v>154</v>
      </c>
      <c r="C105" s="391"/>
      <c r="D105" s="392"/>
      <c r="E105" s="112"/>
      <c r="F105" s="108"/>
      <c r="G105" s="13"/>
      <c r="H105" s="13"/>
      <c r="I105" s="15"/>
      <c r="J105" s="15"/>
      <c r="K105" s="84">
        <f>G105</f>
        <v>0</v>
      </c>
      <c r="L105" s="15">
        <f t="shared" si="13"/>
        <v>0</v>
      </c>
      <c r="M105" s="119">
        <f t="shared" si="14"/>
        <v>0</v>
      </c>
      <c r="N105" s="124">
        <f t="shared" si="14"/>
        <v>0</v>
      </c>
      <c r="O105" s="31">
        <v>0</v>
      </c>
      <c r="P105" s="123">
        <v>0</v>
      </c>
      <c r="R105" s="197">
        <f>L106+L113+L114+L118+L119+L131</f>
        <v>159778.72</v>
      </c>
    </row>
    <row r="106" spans="1:16" ht="17.25" customHeight="1" thickBot="1">
      <c r="A106" s="29" t="s">
        <v>97</v>
      </c>
      <c r="B106" s="511" t="s">
        <v>98</v>
      </c>
      <c r="C106" s="512"/>
      <c r="D106" s="513"/>
      <c r="E106" s="108"/>
      <c r="F106" s="108">
        <f>32600+E106</f>
        <v>32600</v>
      </c>
      <c r="G106" s="13"/>
      <c r="H106" s="13"/>
      <c r="I106" s="13"/>
      <c r="J106" s="13"/>
      <c r="K106" s="84">
        <f aca="true" t="shared" si="15" ref="K106:K120">G106</f>
        <v>0</v>
      </c>
      <c r="L106" s="15">
        <f>39800+K106</f>
        <v>39800</v>
      </c>
      <c r="M106" s="119">
        <f t="shared" si="14"/>
        <v>0</v>
      </c>
      <c r="N106" s="124">
        <f t="shared" si="14"/>
        <v>-7200</v>
      </c>
      <c r="O106" s="31">
        <v>0</v>
      </c>
      <c r="P106" s="123">
        <v>0</v>
      </c>
    </row>
    <row r="107" spans="1:16" ht="19.5" customHeight="1" thickBot="1">
      <c r="A107" s="29" t="s">
        <v>99</v>
      </c>
      <c r="B107" s="359" t="s">
        <v>100</v>
      </c>
      <c r="C107" s="360"/>
      <c r="D107" s="361"/>
      <c r="E107" s="108"/>
      <c r="F107" s="108">
        <f>15000+E107</f>
        <v>15000</v>
      </c>
      <c r="G107" s="13"/>
      <c r="H107" s="13"/>
      <c r="I107" s="13"/>
      <c r="J107" s="13"/>
      <c r="K107" s="84">
        <f t="shared" si="15"/>
        <v>0</v>
      </c>
      <c r="L107" s="15">
        <f t="shared" si="13"/>
        <v>0</v>
      </c>
      <c r="M107" s="119">
        <f t="shared" si="14"/>
        <v>0</v>
      </c>
      <c r="N107" s="124">
        <f t="shared" si="14"/>
        <v>15000</v>
      </c>
      <c r="O107" s="31">
        <v>0</v>
      </c>
      <c r="P107" s="123">
        <v>0</v>
      </c>
    </row>
    <row r="108" spans="1:16" ht="25.5" customHeight="1" thickBot="1">
      <c r="A108" s="29" t="s">
        <v>101</v>
      </c>
      <c r="B108" s="384" t="s">
        <v>102</v>
      </c>
      <c r="C108" s="385"/>
      <c r="D108" s="386"/>
      <c r="E108" s="108"/>
      <c r="F108" s="108"/>
      <c r="G108" s="13"/>
      <c r="H108" s="13"/>
      <c r="I108" s="13"/>
      <c r="J108" s="13"/>
      <c r="K108" s="84">
        <f t="shared" si="15"/>
        <v>0</v>
      </c>
      <c r="L108" s="15">
        <f t="shared" si="13"/>
        <v>0</v>
      </c>
      <c r="M108" s="119">
        <f t="shared" si="14"/>
        <v>0</v>
      </c>
      <c r="N108" s="124">
        <f t="shared" si="14"/>
        <v>0</v>
      </c>
      <c r="O108" s="31">
        <v>0</v>
      </c>
      <c r="P108" s="123">
        <v>0</v>
      </c>
    </row>
    <row r="109" spans="1:16" ht="18" customHeight="1" thickBot="1">
      <c r="A109" s="29" t="s">
        <v>103</v>
      </c>
      <c r="B109" s="359" t="s">
        <v>104</v>
      </c>
      <c r="C109" s="360"/>
      <c r="D109" s="361"/>
      <c r="E109" s="108"/>
      <c r="F109" s="108"/>
      <c r="G109" s="13"/>
      <c r="H109" s="13"/>
      <c r="I109" s="13"/>
      <c r="J109" s="13"/>
      <c r="K109" s="84">
        <f t="shared" si="15"/>
        <v>0</v>
      </c>
      <c r="L109" s="15">
        <f t="shared" si="13"/>
        <v>0</v>
      </c>
      <c r="M109" s="119">
        <f t="shared" si="14"/>
        <v>0</v>
      </c>
      <c r="N109" s="124">
        <f t="shared" si="14"/>
        <v>0</v>
      </c>
      <c r="O109" s="31">
        <v>0</v>
      </c>
      <c r="P109" s="123">
        <v>0</v>
      </c>
    </row>
    <row r="110" spans="1:18" ht="27" customHeight="1" thickBot="1">
      <c r="A110" s="29" t="s">
        <v>105</v>
      </c>
      <c r="B110" s="359" t="s">
        <v>106</v>
      </c>
      <c r="C110" s="360"/>
      <c r="D110" s="361"/>
      <c r="E110" s="108"/>
      <c r="F110" s="108"/>
      <c r="G110" s="13"/>
      <c r="H110" s="13"/>
      <c r="I110" s="13"/>
      <c r="J110" s="13"/>
      <c r="K110" s="84">
        <f t="shared" si="15"/>
        <v>0</v>
      </c>
      <c r="L110" s="15">
        <f t="shared" si="13"/>
        <v>0</v>
      </c>
      <c r="M110" s="119">
        <f t="shared" si="14"/>
        <v>0</v>
      </c>
      <c r="N110" s="124">
        <f t="shared" si="14"/>
        <v>0</v>
      </c>
      <c r="O110" s="31">
        <v>0</v>
      </c>
      <c r="P110" s="123">
        <v>0</v>
      </c>
      <c r="R110" s="201"/>
    </row>
    <row r="111" spans="1:16" ht="21.75" customHeight="1" thickBot="1">
      <c r="A111" s="29" t="s">
        <v>107</v>
      </c>
      <c r="B111" s="384" t="s">
        <v>108</v>
      </c>
      <c r="C111" s="385"/>
      <c r="D111" s="386"/>
      <c r="E111" s="108"/>
      <c r="F111" s="108"/>
      <c r="G111" s="13"/>
      <c r="H111" s="13"/>
      <c r="I111" s="13"/>
      <c r="J111" s="13"/>
      <c r="K111" s="84">
        <f t="shared" si="15"/>
        <v>0</v>
      </c>
      <c r="L111" s="15">
        <f t="shared" si="13"/>
        <v>0</v>
      </c>
      <c r="M111" s="119">
        <f t="shared" si="14"/>
        <v>0</v>
      </c>
      <c r="N111" s="124">
        <f t="shared" si="14"/>
        <v>0</v>
      </c>
      <c r="O111" s="31">
        <v>0</v>
      </c>
      <c r="P111" s="123">
        <v>0</v>
      </c>
    </row>
    <row r="112" spans="1:16" ht="15.75" thickBot="1">
      <c r="A112" s="29" t="s">
        <v>109</v>
      </c>
      <c r="B112" s="359" t="s">
        <v>110</v>
      </c>
      <c r="C112" s="360"/>
      <c r="D112" s="361"/>
      <c r="E112" s="108"/>
      <c r="F112" s="108"/>
      <c r="G112" s="13"/>
      <c r="H112" s="13"/>
      <c r="I112" s="13"/>
      <c r="J112" s="13"/>
      <c r="K112" s="84">
        <f t="shared" si="15"/>
        <v>0</v>
      </c>
      <c r="L112" s="15">
        <f t="shared" si="13"/>
        <v>0</v>
      </c>
      <c r="M112" s="119">
        <f t="shared" si="14"/>
        <v>0</v>
      </c>
      <c r="N112" s="124">
        <f t="shared" si="14"/>
        <v>0</v>
      </c>
      <c r="O112" s="31">
        <v>0</v>
      </c>
      <c r="P112" s="123">
        <v>0</v>
      </c>
    </row>
    <row r="113" spans="1:16" ht="20.25" customHeight="1" thickBot="1">
      <c r="A113" s="29" t="s">
        <v>111</v>
      </c>
      <c r="B113" s="359" t="s">
        <v>112</v>
      </c>
      <c r="C113" s="360"/>
      <c r="D113" s="361"/>
      <c r="E113" s="108"/>
      <c r="F113" s="108">
        <f>40000+E113</f>
        <v>40000</v>
      </c>
      <c r="G113" s="13"/>
      <c r="H113" s="13"/>
      <c r="I113" s="13"/>
      <c r="J113" s="13"/>
      <c r="K113" s="84">
        <f t="shared" si="15"/>
        <v>0</v>
      </c>
      <c r="L113" s="15">
        <f>30430+K113</f>
        <v>30430</v>
      </c>
      <c r="M113" s="119">
        <f t="shared" si="14"/>
        <v>0</v>
      </c>
      <c r="N113" s="124">
        <f t="shared" si="14"/>
        <v>9570</v>
      </c>
      <c r="O113" s="31">
        <v>0</v>
      </c>
      <c r="P113" s="123">
        <v>0</v>
      </c>
    </row>
    <row r="114" spans="1:16" ht="26.25" customHeight="1" thickBot="1">
      <c r="A114" s="29" t="s">
        <v>113</v>
      </c>
      <c r="B114" s="359" t="s">
        <v>114</v>
      </c>
      <c r="C114" s="360"/>
      <c r="D114" s="361"/>
      <c r="E114" s="108">
        <v>1500</v>
      </c>
      <c r="F114" s="108">
        <f>10500+E114</f>
        <v>12000</v>
      </c>
      <c r="G114" s="13"/>
      <c r="H114" s="13"/>
      <c r="I114" s="13"/>
      <c r="J114" s="13"/>
      <c r="K114" s="84">
        <f t="shared" si="15"/>
        <v>0</v>
      </c>
      <c r="L114" s="15">
        <f>25880.05+K114</f>
        <v>25880.05</v>
      </c>
      <c r="M114" s="119">
        <f t="shared" si="14"/>
        <v>1500</v>
      </c>
      <c r="N114" s="124">
        <f t="shared" si="14"/>
        <v>-13880.05</v>
      </c>
      <c r="O114" s="31">
        <v>0</v>
      </c>
      <c r="P114" s="123">
        <v>0</v>
      </c>
    </row>
    <row r="115" spans="1:16" ht="24" customHeight="1" thickBot="1">
      <c r="A115" s="29" t="s">
        <v>115</v>
      </c>
      <c r="B115" s="359" t="s">
        <v>116</v>
      </c>
      <c r="C115" s="360"/>
      <c r="D115" s="361"/>
      <c r="E115" s="108"/>
      <c r="F115" s="108">
        <f>160000+E115</f>
        <v>160000</v>
      </c>
      <c r="G115" s="13"/>
      <c r="H115" s="13"/>
      <c r="I115" s="13"/>
      <c r="J115" s="13"/>
      <c r="K115" s="84">
        <f t="shared" si="15"/>
        <v>0</v>
      </c>
      <c r="L115" s="15">
        <f t="shared" si="13"/>
        <v>0</v>
      </c>
      <c r="M115" s="119">
        <f t="shared" si="14"/>
        <v>0</v>
      </c>
      <c r="N115" s="124">
        <f t="shared" si="14"/>
        <v>160000</v>
      </c>
      <c r="O115" s="31">
        <v>0</v>
      </c>
      <c r="P115" s="123">
        <v>0</v>
      </c>
    </row>
    <row r="116" spans="1:16" ht="24.75" customHeight="1" thickBot="1">
      <c r="A116" s="29" t="s">
        <v>117</v>
      </c>
      <c r="B116" s="359" t="s">
        <v>118</v>
      </c>
      <c r="C116" s="360"/>
      <c r="D116" s="361"/>
      <c r="E116" s="108"/>
      <c r="F116" s="108"/>
      <c r="G116" s="13"/>
      <c r="H116" s="13"/>
      <c r="I116" s="13"/>
      <c r="J116" s="13"/>
      <c r="K116" s="84">
        <f t="shared" si="15"/>
        <v>0</v>
      </c>
      <c r="L116" s="15">
        <f t="shared" si="13"/>
        <v>0</v>
      </c>
      <c r="M116" s="119">
        <f t="shared" si="14"/>
        <v>0</v>
      </c>
      <c r="N116" s="124">
        <f t="shared" si="14"/>
        <v>0</v>
      </c>
      <c r="O116" s="31">
        <v>0</v>
      </c>
      <c r="P116" s="123">
        <v>0</v>
      </c>
    </row>
    <row r="117" spans="1:16" ht="29.25" customHeight="1" thickBot="1">
      <c r="A117" s="29"/>
      <c r="B117" s="359" t="s">
        <v>119</v>
      </c>
      <c r="C117" s="360"/>
      <c r="D117" s="361"/>
      <c r="E117" s="108"/>
      <c r="F117" s="108"/>
      <c r="G117" s="13"/>
      <c r="H117" s="13"/>
      <c r="I117" s="13"/>
      <c r="J117" s="13"/>
      <c r="K117" s="84">
        <f t="shared" si="15"/>
        <v>0</v>
      </c>
      <c r="L117" s="15">
        <f t="shared" si="13"/>
        <v>0</v>
      </c>
      <c r="M117" s="119">
        <f t="shared" si="14"/>
        <v>0</v>
      </c>
      <c r="N117" s="124">
        <f t="shared" si="14"/>
        <v>0</v>
      </c>
      <c r="O117" s="31">
        <v>0</v>
      </c>
      <c r="P117" s="123">
        <v>0</v>
      </c>
    </row>
    <row r="118" spans="1:16" ht="27" customHeight="1" thickBot="1">
      <c r="A118" s="29" t="s">
        <v>120</v>
      </c>
      <c r="B118" s="359" t="s">
        <v>121</v>
      </c>
      <c r="C118" s="360"/>
      <c r="D118" s="361"/>
      <c r="E118" s="108"/>
      <c r="F118" s="108"/>
      <c r="G118" s="13">
        <v>200.13</v>
      </c>
      <c r="H118" s="13"/>
      <c r="I118" s="13"/>
      <c r="J118" s="13"/>
      <c r="K118" s="84">
        <f t="shared" si="15"/>
        <v>200.13</v>
      </c>
      <c r="L118" s="15">
        <f>1827.49+K118</f>
        <v>2027.62</v>
      </c>
      <c r="M118" s="119">
        <f t="shared" si="14"/>
        <v>-200.13</v>
      </c>
      <c r="N118" s="124">
        <f t="shared" si="14"/>
        <v>-2027.62</v>
      </c>
      <c r="O118" s="31">
        <v>0</v>
      </c>
      <c r="P118" s="123">
        <v>0</v>
      </c>
    </row>
    <row r="119" spans="1:18" ht="32.25" customHeight="1" thickBot="1">
      <c r="A119" s="29" t="s">
        <v>211</v>
      </c>
      <c r="B119" s="381" t="s">
        <v>122</v>
      </c>
      <c r="C119" s="382"/>
      <c r="D119" s="383"/>
      <c r="E119" s="108"/>
      <c r="F119" s="108">
        <f>36000+E119</f>
        <v>36000</v>
      </c>
      <c r="G119" s="13"/>
      <c r="H119" s="13"/>
      <c r="I119" s="13"/>
      <c r="J119" s="13"/>
      <c r="K119" s="84">
        <f t="shared" si="15"/>
        <v>0</v>
      </c>
      <c r="L119" s="15">
        <f>51706.38+K119</f>
        <v>51706.38</v>
      </c>
      <c r="M119" s="119">
        <f t="shared" si="14"/>
        <v>0</v>
      </c>
      <c r="N119" s="124">
        <f t="shared" si="14"/>
        <v>-15706.379999999997</v>
      </c>
      <c r="O119" s="31">
        <v>0</v>
      </c>
      <c r="P119" s="123">
        <v>0</v>
      </c>
      <c r="R119" s="201">
        <f>F131+F129+F128+F119+F115+F114+F113+F107+F106</f>
        <v>690852</v>
      </c>
    </row>
    <row r="120" spans="1:16" ht="27.75" customHeight="1" thickBot="1">
      <c r="A120" s="34" t="s">
        <v>123</v>
      </c>
      <c r="B120" s="359" t="s">
        <v>124</v>
      </c>
      <c r="C120" s="360"/>
      <c r="D120" s="361"/>
      <c r="E120" s="108"/>
      <c r="F120" s="108"/>
      <c r="G120" s="13"/>
      <c r="H120" s="13"/>
      <c r="I120" s="13"/>
      <c r="J120" s="13"/>
      <c r="K120" s="84">
        <f t="shared" si="15"/>
        <v>0</v>
      </c>
      <c r="L120" s="15">
        <f t="shared" si="13"/>
        <v>0</v>
      </c>
      <c r="M120" s="119">
        <f t="shared" si="14"/>
        <v>0</v>
      </c>
      <c r="N120" s="124">
        <f t="shared" si="14"/>
        <v>0</v>
      </c>
      <c r="O120" s="31">
        <v>0</v>
      </c>
      <c r="P120" s="123">
        <v>0</v>
      </c>
    </row>
    <row r="121" spans="1:16" ht="15">
      <c r="A121" s="202"/>
      <c r="B121" s="576" t="s">
        <v>30</v>
      </c>
      <c r="C121" s="576"/>
      <c r="D121" s="576"/>
      <c r="E121" s="576"/>
      <c r="F121" s="576"/>
      <c r="G121" s="576"/>
      <c r="H121" s="576"/>
      <c r="I121" s="576"/>
      <c r="J121" s="576"/>
      <c r="K121" s="576"/>
      <c r="L121" s="576"/>
      <c r="M121" s="576"/>
      <c r="N121" s="576"/>
      <c r="O121" s="576"/>
      <c r="P121" s="577"/>
    </row>
    <row r="122" spans="1:16" ht="3" customHeight="1" thickBot="1">
      <c r="A122" s="203"/>
      <c r="B122" s="579"/>
      <c r="C122" s="579"/>
      <c r="D122" s="579"/>
      <c r="E122" s="579"/>
      <c r="F122" s="579"/>
      <c r="G122" s="579"/>
      <c r="H122" s="579"/>
      <c r="I122" s="579"/>
      <c r="J122" s="579"/>
      <c r="K122" s="579"/>
      <c r="L122" s="579"/>
      <c r="M122" s="579"/>
      <c r="N122" s="579"/>
      <c r="O122" s="579"/>
      <c r="P122" s="580"/>
    </row>
    <row r="123" spans="1:16" ht="15.75" thickBot="1">
      <c r="A123" s="204"/>
      <c r="B123" s="599" t="s">
        <v>14</v>
      </c>
      <c r="C123" s="600"/>
      <c r="D123" s="601"/>
      <c r="E123" s="605" t="s">
        <v>24</v>
      </c>
      <c r="F123" s="607" t="s">
        <v>25</v>
      </c>
      <c r="G123" s="609" t="s">
        <v>31</v>
      </c>
      <c r="H123" s="610"/>
      <c r="I123" s="610"/>
      <c r="J123" s="610"/>
      <c r="K123" s="611"/>
      <c r="L123" s="597" t="s">
        <v>16</v>
      </c>
      <c r="M123" s="597" t="s">
        <v>17</v>
      </c>
      <c r="N123" s="597" t="s">
        <v>18</v>
      </c>
      <c r="O123" s="597" t="s">
        <v>19</v>
      </c>
      <c r="P123" s="597" t="s">
        <v>20</v>
      </c>
    </row>
    <row r="124" spans="1:16" ht="54" customHeight="1" thickBot="1">
      <c r="A124" s="269"/>
      <c r="B124" s="602"/>
      <c r="C124" s="603"/>
      <c r="D124" s="604"/>
      <c r="E124" s="606"/>
      <c r="F124" s="608"/>
      <c r="G124" s="205" t="s">
        <v>32</v>
      </c>
      <c r="H124" s="205" t="s">
        <v>33</v>
      </c>
      <c r="I124" s="205" t="s">
        <v>34</v>
      </c>
      <c r="J124" s="206" t="s">
        <v>220</v>
      </c>
      <c r="K124" s="207" t="s">
        <v>27</v>
      </c>
      <c r="L124" s="598"/>
      <c r="M124" s="598"/>
      <c r="N124" s="598"/>
      <c r="O124" s="598"/>
      <c r="P124" s="598"/>
    </row>
    <row r="125" spans="1:16" ht="15.75" thickBot="1">
      <c r="A125" s="38"/>
      <c r="B125" s="536">
        <v>1</v>
      </c>
      <c r="C125" s="537"/>
      <c r="D125" s="538"/>
      <c r="E125" s="180" t="s">
        <v>22</v>
      </c>
      <c r="F125" s="273">
        <v>3</v>
      </c>
      <c r="G125" s="273">
        <v>4</v>
      </c>
      <c r="H125" s="273">
        <v>5</v>
      </c>
      <c r="I125" s="175">
        <v>6</v>
      </c>
      <c r="J125" s="175">
        <v>7</v>
      </c>
      <c r="K125" s="192">
        <v>8</v>
      </c>
      <c r="L125" s="277">
        <v>9</v>
      </c>
      <c r="M125" s="175">
        <v>10</v>
      </c>
      <c r="N125" s="277">
        <v>11</v>
      </c>
      <c r="O125" s="175">
        <v>12</v>
      </c>
      <c r="P125" s="277">
        <v>13</v>
      </c>
    </row>
    <row r="126" spans="1:16" ht="27.75" thickBot="1">
      <c r="A126" s="115" t="s">
        <v>125</v>
      </c>
      <c r="B126" s="514" t="s">
        <v>126</v>
      </c>
      <c r="C126" s="515"/>
      <c r="D126" s="516"/>
      <c r="E126" s="108"/>
      <c r="F126" s="108"/>
      <c r="G126" s="13"/>
      <c r="H126" s="13"/>
      <c r="I126" s="13"/>
      <c r="J126" s="13"/>
      <c r="K126" s="84">
        <f aca="true" t="shared" si="16" ref="K126:K140">G126</f>
        <v>0</v>
      </c>
      <c r="L126" s="15">
        <f aca="true" t="shared" si="17" ref="L126:L140">0+K126</f>
        <v>0</v>
      </c>
      <c r="M126" s="119">
        <f aca="true" t="shared" si="18" ref="M126:N141">E126-K126</f>
        <v>0</v>
      </c>
      <c r="N126" s="124">
        <f t="shared" si="18"/>
        <v>0</v>
      </c>
      <c r="O126" s="31">
        <v>0</v>
      </c>
      <c r="P126" s="123">
        <v>0</v>
      </c>
    </row>
    <row r="127" spans="1:16" ht="27.75" thickBot="1">
      <c r="A127" s="116" t="s">
        <v>127</v>
      </c>
      <c r="B127" s="427" t="s">
        <v>128</v>
      </c>
      <c r="C127" s="428"/>
      <c r="D127" s="429"/>
      <c r="E127" s="108"/>
      <c r="F127" s="108"/>
      <c r="G127" s="13"/>
      <c r="H127" s="13"/>
      <c r="I127" s="13"/>
      <c r="J127" s="13"/>
      <c r="K127" s="84">
        <f t="shared" si="16"/>
        <v>0</v>
      </c>
      <c r="L127" s="15">
        <f t="shared" si="17"/>
        <v>0</v>
      </c>
      <c r="M127" s="119">
        <f t="shared" si="18"/>
        <v>0</v>
      </c>
      <c r="N127" s="124">
        <f t="shared" si="18"/>
        <v>0</v>
      </c>
      <c r="O127" s="31">
        <v>0</v>
      </c>
      <c r="P127" s="123">
        <v>0</v>
      </c>
    </row>
    <row r="128" spans="1:16" ht="30.75" thickBot="1">
      <c r="A128" s="39" t="s">
        <v>129</v>
      </c>
      <c r="B128" s="359" t="s">
        <v>130</v>
      </c>
      <c r="C128" s="360"/>
      <c r="D128" s="361"/>
      <c r="E128" s="108"/>
      <c r="F128" s="108">
        <f>300000+E128</f>
        <v>300000</v>
      </c>
      <c r="G128" s="13"/>
      <c r="H128" s="13"/>
      <c r="I128" s="13"/>
      <c r="J128" s="13"/>
      <c r="K128" s="84">
        <f>I128+G128</f>
        <v>0</v>
      </c>
      <c r="L128" s="15">
        <f>279245.39+K128</f>
        <v>279245.39</v>
      </c>
      <c r="M128" s="119">
        <f t="shared" si="18"/>
        <v>0</v>
      </c>
      <c r="N128" s="124">
        <f t="shared" si="18"/>
        <v>20754.609999999986</v>
      </c>
      <c r="O128" s="31">
        <v>0</v>
      </c>
      <c r="P128" s="123">
        <v>0</v>
      </c>
    </row>
    <row r="129" spans="1:16" ht="30.75" customHeight="1" thickBot="1">
      <c r="A129" s="39" t="s">
        <v>131</v>
      </c>
      <c r="B129" s="387" t="s">
        <v>222</v>
      </c>
      <c r="C129" s="388"/>
      <c r="D129" s="389"/>
      <c r="E129" s="108">
        <v>12751</v>
      </c>
      <c r="F129" s="108">
        <f>76501+E129</f>
        <v>89252</v>
      </c>
      <c r="G129" s="13"/>
      <c r="H129" s="13"/>
      <c r="I129" s="13"/>
      <c r="J129" s="13"/>
      <c r="K129" s="84">
        <f>H129</f>
        <v>0</v>
      </c>
      <c r="L129" s="15">
        <f>153006+K129</f>
        <v>153006</v>
      </c>
      <c r="M129" s="119">
        <f t="shared" si="18"/>
        <v>12751</v>
      </c>
      <c r="N129" s="124">
        <f t="shared" si="18"/>
        <v>-63754</v>
      </c>
      <c r="O129" s="31">
        <v>0</v>
      </c>
      <c r="P129" s="123">
        <v>0</v>
      </c>
    </row>
    <row r="130" spans="1:16" ht="30.75" thickBot="1">
      <c r="A130" s="73" t="s">
        <v>133</v>
      </c>
      <c r="B130" s="359" t="s">
        <v>134</v>
      </c>
      <c r="C130" s="360"/>
      <c r="D130" s="361"/>
      <c r="E130" s="108"/>
      <c r="F130" s="108"/>
      <c r="G130" s="13"/>
      <c r="H130" s="13"/>
      <c r="I130" s="13"/>
      <c r="J130" s="13"/>
      <c r="K130" s="84">
        <f t="shared" si="16"/>
        <v>0</v>
      </c>
      <c r="L130" s="15">
        <f>1500+K130</f>
        <v>1500</v>
      </c>
      <c r="M130" s="119">
        <f t="shared" si="18"/>
        <v>0</v>
      </c>
      <c r="N130" s="124">
        <f t="shared" si="18"/>
        <v>-1500</v>
      </c>
      <c r="O130" s="31">
        <v>0</v>
      </c>
      <c r="P130" s="123">
        <v>0</v>
      </c>
    </row>
    <row r="131" spans="1:16" ht="30.75" thickBot="1">
      <c r="A131" s="73" t="s">
        <v>135</v>
      </c>
      <c r="B131" s="511" t="s">
        <v>136</v>
      </c>
      <c r="C131" s="512"/>
      <c r="D131" s="513"/>
      <c r="E131" s="108"/>
      <c r="F131" s="108">
        <f>6000+E131</f>
        <v>6000</v>
      </c>
      <c r="G131" s="13">
        <v>740</v>
      </c>
      <c r="H131" s="13"/>
      <c r="I131" s="13"/>
      <c r="J131" s="13"/>
      <c r="K131" s="84">
        <f t="shared" si="16"/>
        <v>740</v>
      </c>
      <c r="L131" s="15">
        <f>9194.67+K131</f>
        <v>9934.67</v>
      </c>
      <c r="M131" s="119">
        <f t="shared" si="18"/>
        <v>-740</v>
      </c>
      <c r="N131" s="124">
        <f t="shared" si="18"/>
        <v>-3934.67</v>
      </c>
      <c r="O131" s="31">
        <v>0</v>
      </c>
      <c r="P131" s="123">
        <v>0</v>
      </c>
    </row>
    <row r="132" spans="1:19" ht="33.75" customHeight="1" thickBot="1">
      <c r="A132" s="40">
        <v>15</v>
      </c>
      <c r="B132" s="338" t="s">
        <v>137</v>
      </c>
      <c r="C132" s="338"/>
      <c r="D132" s="339"/>
      <c r="E132" s="108">
        <v>0</v>
      </c>
      <c r="F132" s="114">
        <f>F133</f>
        <v>0</v>
      </c>
      <c r="G132" s="32">
        <f>G133+G134</f>
        <v>7050</v>
      </c>
      <c r="H132" s="13"/>
      <c r="I132" s="13"/>
      <c r="J132" s="13"/>
      <c r="K132" s="83">
        <f t="shared" si="16"/>
        <v>7050</v>
      </c>
      <c r="L132" s="23">
        <f>L133+L134</f>
        <v>198060.8</v>
      </c>
      <c r="M132" s="120">
        <f t="shared" si="18"/>
        <v>-7050</v>
      </c>
      <c r="N132" s="125">
        <f t="shared" si="18"/>
        <v>-198060.8</v>
      </c>
      <c r="O132" s="26">
        <v>0</v>
      </c>
      <c r="P132" s="27">
        <v>0</v>
      </c>
      <c r="Q132" s="173"/>
      <c r="R132" s="173"/>
      <c r="S132" s="173"/>
    </row>
    <row r="133" spans="1:19" ht="21" customHeight="1" thickBot="1">
      <c r="A133" s="29" t="s">
        <v>187</v>
      </c>
      <c r="B133" s="390" t="s">
        <v>152</v>
      </c>
      <c r="C133" s="391"/>
      <c r="D133" s="392"/>
      <c r="E133" s="112"/>
      <c r="F133" s="108"/>
      <c r="G133" s="13">
        <v>7050</v>
      </c>
      <c r="H133" s="13"/>
      <c r="I133" s="13"/>
      <c r="J133" s="13"/>
      <c r="K133" s="84">
        <f t="shared" si="16"/>
        <v>7050</v>
      </c>
      <c r="L133" s="15">
        <f>191010.8+K133</f>
        <v>198060.8</v>
      </c>
      <c r="M133" s="119">
        <f t="shared" si="18"/>
        <v>-7050</v>
      </c>
      <c r="N133" s="124">
        <f t="shared" si="18"/>
        <v>-198060.8</v>
      </c>
      <c r="O133" s="31">
        <v>0</v>
      </c>
      <c r="P133" s="123">
        <v>0</v>
      </c>
      <c r="Q133" s="173"/>
      <c r="R133" s="173"/>
      <c r="S133" s="173"/>
    </row>
    <row r="134" spans="1:19" ht="29.25" customHeight="1" thickBot="1">
      <c r="A134" s="29" t="s">
        <v>188</v>
      </c>
      <c r="B134" s="340" t="s">
        <v>171</v>
      </c>
      <c r="C134" s="341"/>
      <c r="D134" s="342"/>
      <c r="E134" s="112"/>
      <c r="F134" s="108"/>
      <c r="G134" s="13"/>
      <c r="H134" s="13"/>
      <c r="I134" s="13"/>
      <c r="J134" s="13"/>
      <c r="K134" s="84">
        <f t="shared" si="16"/>
        <v>0</v>
      </c>
      <c r="L134" s="15">
        <f t="shared" si="17"/>
        <v>0</v>
      </c>
      <c r="M134" s="119">
        <f t="shared" si="18"/>
        <v>0</v>
      </c>
      <c r="N134" s="124">
        <f t="shared" si="18"/>
        <v>0</v>
      </c>
      <c r="O134" s="31">
        <v>0</v>
      </c>
      <c r="P134" s="123">
        <v>0</v>
      </c>
      <c r="Q134" s="173"/>
      <c r="R134" s="173"/>
      <c r="S134" s="173"/>
    </row>
    <row r="135" spans="1:19" ht="28.5" customHeight="1" thickBot="1">
      <c r="A135" s="41">
        <v>16</v>
      </c>
      <c r="B135" s="338" t="s">
        <v>138</v>
      </c>
      <c r="C135" s="338"/>
      <c r="D135" s="339"/>
      <c r="E135" s="108">
        <v>0</v>
      </c>
      <c r="F135" s="114">
        <f>F136</f>
        <v>0</v>
      </c>
      <c r="G135" s="32">
        <f>G136+G137</f>
        <v>0</v>
      </c>
      <c r="H135" s="13"/>
      <c r="I135" s="13"/>
      <c r="J135" s="13"/>
      <c r="K135" s="83">
        <f t="shared" si="16"/>
        <v>0</v>
      </c>
      <c r="L135" s="23">
        <f>507603+K135</f>
        <v>507603</v>
      </c>
      <c r="M135" s="120">
        <f t="shared" si="18"/>
        <v>0</v>
      </c>
      <c r="N135" s="125">
        <f t="shared" si="18"/>
        <v>-507603</v>
      </c>
      <c r="O135" s="26">
        <v>0</v>
      </c>
      <c r="P135" s="27">
        <v>0</v>
      </c>
      <c r="Q135" s="173"/>
      <c r="R135" s="173"/>
      <c r="S135" s="173"/>
    </row>
    <row r="136" spans="1:19" ht="20.25" customHeight="1" thickBot="1">
      <c r="A136" s="29" t="s">
        <v>189</v>
      </c>
      <c r="B136" s="390" t="s">
        <v>152</v>
      </c>
      <c r="C136" s="391"/>
      <c r="D136" s="392"/>
      <c r="E136" s="112"/>
      <c r="F136" s="108">
        <v>0</v>
      </c>
      <c r="G136" s="13"/>
      <c r="H136" s="13"/>
      <c r="I136" s="13"/>
      <c r="J136" s="13"/>
      <c r="K136" s="84">
        <f t="shared" si="16"/>
        <v>0</v>
      </c>
      <c r="L136" s="15">
        <f>507603+K136</f>
        <v>507603</v>
      </c>
      <c r="M136" s="119">
        <f t="shared" si="18"/>
        <v>0</v>
      </c>
      <c r="N136" s="124">
        <f t="shared" si="18"/>
        <v>-507603</v>
      </c>
      <c r="O136" s="31">
        <v>0</v>
      </c>
      <c r="P136" s="123">
        <v>0</v>
      </c>
      <c r="Q136" s="173"/>
      <c r="R136" s="173"/>
      <c r="S136" s="173"/>
    </row>
    <row r="137" spans="1:19" ht="26.25" customHeight="1" thickBot="1">
      <c r="A137" s="29" t="s">
        <v>190</v>
      </c>
      <c r="B137" s="340" t="s">
        <v>171</v>
      </c>
      <c r="C137" s="341"/>
      <c r="D137" s="342"/>
      <c r="E137" s="112"/>
      <c r="F137" s="108"/>
      <c r="G137" s="13"/>
      <c r="H137" s="13"/>
      <c r="I137" s="13"/>
      <c r="J137" s="13"/>
      <c r="K137" s="84">
        <f t="shared" si="16"/>
        <v>0</v>
      </c>
      <c r="L137" s="15">
        <f t="shared" si="17"/>
        <v>0</v>
      </c>
      <c r="M137" s="119">
        <f t="shared" si="18"/>
        <v>0</v>
      </c>
      <c r="N137" s="124">
        <f t="shared" si="18"/>
        <v>0</v>
      </c>
      <c r="O137" s="31">
        <v>0</v>
      </c>
      <c r="P137" s="123">
        <v>0</v>
      </c>
      <c r="Q137" s="173"/>
      <c r="R137" s="173"/>
      <c r="S137" s="173"/>
    </row>
    <row r="138" spans="1:19" ht="44.25" customHeight="1" thickBot="1">
      <c r="A138" s="40">
        <v>17</v>
      </c>
      <c r="B138" s="338" t="s">
        <v>139</v>
      </c>
      <c r="C138" s="338"/>
      <c r="D138" s="339"/>
      <c r="E138" s="114">
        <v>0</v>
      </c>
      <c r="F138" s="114"/>
      <c r="G138" s="32"/>
      <c r="H138" s="32"/>
      <c r="I138" s="32"/>
      <c r="J138" s="32"/>
      <c r="K138" s="83">
        <f t="shared" si="16"/>
        <v>0</v>
      </c>
      <c r="L138" s="23">
        <f t="shared" si="17"/>
        <v>0</v>
      </c>
      <c r="M138" s="120">
        <f t="shared" si="18"/>
        <v>0</v>
      </c>
      <c r="N138" s="125">
        <f t="shared" si="18"/>
        <v>0</v>
      </c>
      <c r="O138" s="26">
        <v>0</v>
      </c>
      <c r="P138" s="27">
        <v>0</v>
      </c>
      <c r="Q138" s="173"/>
      <c r="R138" s="173"/>
      <c r="S138" s="173"/>
    </row>
    <row r="139" spans="1:19" ht="27" customHeight="1" thickBot="1">
      <c r="A139" s="29" t="s">
        <v>191</v>
      </c>
      <c r="B139" s="340" t="s">
        <v>152</v>
      </c>
      <c r="C139" s="341"/>
      <c r="D139" s="342"/>
      <c r="E139" s="112"/>
      <c r="F139" s="108"/>
      <c r="G139" s="13"/>
      <c r="H139" s="13"/>
      <c r="I139" s="13"/>
      <c r="J139" s="13"/>
      <c r="K139" s="84">
        <f t="shared" si="16"/>
        <v>0</v>
      </c>
      <c r="L139" s="15">
        <f t="shared" si="17"/>
        <v>0</v>
      </c>
      <c r="M139" s="119">
        <f t="shared" si="18"/>
        <v>0</v>
      </c>
      <c r="N139" s="124">
        <f t="shared" si="18"/>
        <v>0</v>
      </c>
      <c r="O139" s="31">
        <v>0</v>
      </c>
      <c r="P139" s="123">
        <v>0</v>
      </c>
      <c r="Q139" s="173"/>
      <c r="R139" s="173"/>
      <c r="S139" s="173"/>
    </row>
    <row r="140" spans="1:19" ht="29.25" customHeight="1" thickBot="1">
      <c r="A140" s="29" t="s">
        <v>192</v>
      </c>
      <c r="B140" s="340" t="s">
        <v>171</v>
      </c>
      <c r="C140" s="341"/>
      <c r="D140" s="342"/>
      <c r="E140" s="112"/>
      <c r="F140" s="108"/>
      <c r="G140" s="13"/>
      <c r="H140" s="13"/>
      <c r="I140" s="13"/>
      <c r="J140" s="13"/>
      <c r="K140" s="84">
        <f t="shared" si="16"/>
        <v>0</v>
      </c>
      <c r="L140" s="15">
        <f t="shared" si="17"/>
        <v>0</v>
      </c>
      <c r="M140" s="119">
        <f t="shared" si="18"/>
        <v>0</v>
      </c>
      <c r="N140" s="124">
        <f t="shared" si="18"/>
        <v>0</v>
      </c>
      <c r="O140" s="31">
        <v>0</v>
      </c>
      <c r="P140" s="123">
        <v>0</v>
      </c>
      <c r="Q140" s="173"/>
      <c r="R140" s="173"/>
      <c r="S140" s="173"/>
    </row>
    <row r="141" spans="1:19" ht="22.5" customHeight="1" thickBot="1">
      <c r="A141" s="40">
        <v>18</v>
      </c>
      <c r="B141" s="323" t="s">
        <v>140</v>
      </c>
      <c r="C141" s="323"/>
      <c r="D141" s="324"/>
      <c r="E141" s="108">
        <v>0</v>
      </c>
      <c r="F141" s="108"/>
      <c r="G141" s="13"/>
      <c r="H141" s="13"/>
      <c r="I141" s="13"/>
      <c r="J141" s="32"/>
      <c r="K141" s="83">
        <f>J141</f>
        <v>0</v>
      </c>
      <c r="L141" s="23">
        <f>967479.82+K141</f>
        <v>967479.82</v>
      </c>
      <c r="M141" s="120">
        <f t="shared" si="18"/>
        <v>0</v>
      </c>
      <c r="N141" s="125">
        <f t="shared" si="18"/>
        <v>-967479.82</v>
      </c>
      <c r="O141" s="26">
        <v>0</v>
      </c>
      <c r="P141" s="27">
        <v>0</v>
      </c>
      <c r="Q141" s="173"/>
      <c r="R141" s="173"/>
      <c r="S141" s="173"/>
    </row>
    <row r="142" spans="1:19" ht="50.25" customHeight="1" thickBot="1">
      <c r="A142" s="43"/>
      <c r="B142" s="328" t="s">
        <v>141</v>
      </c>
      <c r="C142" s="328"/>
      <c r="D142" s="328"/>
      <c r="E142" s="328"/>
      <c r="F142" s="208"/>
      <c r="G142" s="208" t="s">
        <v>4</v>
      </c>
      <c r="H142" s="275" t="s">
        <v>5</v>
      </c>
      <c r="I142" s="532" t="s">
        <v>6</v>
      </c>
      <c r="J142" s="533"/>
      <c r="K142" s="176" t="s">
        <v>11</v>
      </c>
      <c r="L142" s="175" t="s">
        <v>8</v>
      </c>
      <c r="M142" s="175" t="s">
        <v>9</v>
      </c>
      <c r="N142" s="210" t="s">
        <v>10</v>
      </c>
      <c r="O142" s="211"/>
      <c r="P142" s="276"/>
      <c r="Q142" s="173"/>
      <c r="R142" s="173"/>
      <c r="S142" s="173"/>
    </row>
    <row r="143" spans="1:19" ht="23.25" customHeight="1" thickBot="1">
      <c r="A143" s="42"/>
      <c r="B143" s="328" t="s">
        <v>12</v>
      </c>
      <c r="C143" s="328"/>
      <c r="D143" s="328"/>
      <c r="E143" s="329"/>
      <c r="F143" s="47"/>
      <c r="G143" s="47">
        <v>0</v>
      </c>
      <c r="H143" s="3">
        <v>0</v>
      </c>
      <c r="I143" s="330">
        <v>0</v>
      </c>
      <c r="J143" s="331"/>
      <c r="K143" s="86"/>
      <c r="L143" s="3">
        <v>0</v>
      </c>
      <c r="M143" s="265">
        <v>0</v>
      </c>
      <c r="N143" s="265">
        <v>0</v>
      </c>
      <c r="O143" s="3"/>
      <c r="P143" s="3">
        <v>0</v>
      </c>
      <c r="Q143" s="173"/>
      <c r="R143" s="173"/>
      <c r="S143" s="173"/>
    </row>
    <row r="144" spans="1:19" ht="27" customHeight="1" thickBot="1">
      <c r="A144" s="43"/>
      <c r="B144" s="328" t="s">
        <v>13</v>
      </c>
      <c r="C144" s="328"/>
      <c r="D144" s="328"/>
      <c r="E144" s="329"/>
      <c r="F144" s="3"/>
      <c r="G144" s="3">
        <f>F10+G17-G32-G36-G40-G45-G55-G65-G68-G72-G75-G79-G89-G102-G133-G136-G139</f>
        <v>-14908.539999999983</v>
      </c>
      <c r="H144" s="3">
        <f>G18+H10-H29</f>
        <v>151210.16999999998</v>
      </c>
      <c r="I144" s="330">
        <f>I10+G19-I104-I66-I97-I76</f>
        <v>26149</v>
      </c>
      <c r="J144" s="331"/>
      <c r="K144" s="86">
        <f>O10+G22-J54</f>
        <v>3995.760000000002</v>
      </c>
      <c r="L144" s="3">
        <f>L10+G23-J141</f>
        <v>5215.13</v>
      </c>
      <c r="M144" s="265">
        <v>0</v>
      </c>
      <c r="N144" s="3">
        <v>0</v>
      </c>
      <c r="O144" s="48"/>
      <c r="P144" s="3">
        <f>SUM(G144:O144)</f>
        <v>171661.52000000002</v>
      </c>
      <c r="Q144" s="173"/>
      <c r="R144" s="196">
        <f>P5+L16-L29</f>
        <v>171661.51999999955</v>
      </c>
      <c r="S144" s="18"/>
    </row>
    <row r="145" spans="1:19" ht="24.75" customHeight="1" thickBot="1">
      <c r="A145" s="49"/>
      <c r="B145" s="524" t="s">
        <v>242</v>
      </c>
      <c r="C145" s="524"/>
      <c r="D145" s="524"/>
      <c r="E145" s="525"/>
      <c r="F145" s="346"/>
      <c r="G145" s="346"/>
      <c r="H145" s="346"/>
      <c r="I145" s="346"/>
      <c r="J145" s="346"/>
      <c r="K145" s="346"/>
      <c r="L145" s="346"/>
      <c r="M145" s="346"/>
      <c r="N145" s="347"/>
      <c r="O145" s="348"/>
      <c r="P145" s="50">
        <f>P144</f>
        <v>171661.52000000002</v>
      </c>
      <c r="Q145" s="173"/>
      <c r="R145" s="18"/>
      <c r="S145" s="18"/>
    </row>
    <row r="146" spans="1:19" ht="15">
      <c r="A146" s="173"/>
      <c r="B146" s="213"/>
      <c r="C146" s="213"/>
      <c r="D146" s="213"/>
      <c r="E146" s="213"/>
      <c r="F146" s="52"/>
      <c r="G146" s="52"/>
      <c r="H146" s="52"/>
      <c r="I146" s="52"/>
      <c r="J146" s="52"/>
      <c r="K146" s="87"/>
      <c r="L146" s="52"/>
      <c r="M146" s="52"/>
      <c r="N146" s="52"/>
      <c r="O146" s="53"/>
      <c r="P146" s="54"/>
      <c r="Q146" s="173"/>
      <c r="R146" s="18"/>
      <c r="S146" s="173"/>
    </row>
    <row r="147" spans="1:19" ht="15">
      <c r="A147" s="173"/>
      <c r="B147" s="343" t="s">
        <v>142</v>
      </c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9" t="s">
        <v>143</v>
      </c>
      <c r="P147" s="349"/>
      <c r="Q147" s="173"/>
      <c r="R147" s="196"/>
      <c r="S147" s="18"/>
    </row>
    <row r="148" spans="1:19" ht="15">
      <c r="A148" s="173"/>
      <c r="B148" s="343" t="s">
        <v>144</v>
      </c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 t="s">
        <v>145</v>
      </c>
      <c r="P148" s="343"/>
      <c r="Q148" s="173"/>
      <c r="R148" s="173"/>
      <c r="S148" s="173"/>
    </row>
    <row r="149" spans="1:19" ht="15">
      <c r="A149" s="173"/>
      <c r="B149" s="267"/>
      <c r="C149" s="267"/>
      <c r="D149" s="267"/>
      <c r="E149" s="267"/>
      <c r="F149" s="267"/>
      <c r="G149" s="267"/>
      <c r="H149" s="267"/>
      <c r="I149" s="267"/>
      <c r="J149" s="55"/>
      <c r="K149" s="88"/>
      <c r="L149" s="55"/>
      <c r="M149" s="267"/>
      <c r="N149" s="267"/>
      <c r="O149" s="267"/>
      <c r="P149" s="55"/>
      <c r="Q149" s="173"/>
      <c r="R149" s="18"/>
      <c r="S149" s="173"/>
    </row>
    <row r="151" spans="1:19" ht="15">
      <c r="A151" s="173"/>
      <c r="B151" s="173"/>
      <c r="C151" s="173"/>
      <c r="D151" s="173"/>
      <c r="E151" s="173"/>
      <c r="F151" s="173"/>
      <c r="G151" s="173"/>
      <c r="H151" s="173"/>
      <c r="I151" s="250"/>
      <c r="J151" s="173"/>
      <c r="K151" s="173"/>
      <c r="L151" s="173"/>
      <c r="M151" s="173"/>
      <c r="N151" s="173"/>
      <c r="O151" s="173"/>
      <c r="P151" s="173"/>
      <c r="Q151" s="173"/>
      <c r="R151" s="18"/>
      <c r="S151" s="173"/>
    </row>
    <row r="152" spans="1:19" ht="15">
      <c r="A152" s="173"/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8"/>
      <c r="S152" s="173"/>
    </row>
    <row r="153" spans="1:19" ht="15">
      <c r="A153" s="173"/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8"/>
      <c r="O153" s="173"/>
      <c r="P153" s="173"/>
      <c r="Q153" s="173"/>
      <c r="R153" s="173"/>
      <c r="S153" s="173"/>
    </row>
    <row r="154" spans="12:16" ht="15">
      <c r="L154" s="173"/>
      <c r="M154" s="173"/>
      <c r="N154" s="18"/>
      <c r="O154" s="173"/>
      <c r="P154" s="18"/>
    </row>
    <row r="155" spans="12:16" ht="15">
      <c r="L155" s="173"/>
      <c r="M155" s="173"/>
      <c r="N155" s="214"/>
      <c r="O155" s="173"/>
      <c r="P155" s="18"/>
    </row>
    <row r="156" spans="12:16" ht="15">
      <c r="L156" s="18"/>
      <c r="M156" s="173"/>
      <c r="N156" s="173"/>
      <c r="O156" s="173"/>
      <c r="P156" s="173"/>
    </row>
    <row r="157" spans="12:16" ht="15">
      <c r="L157" s="18"/>
      <c r="M157" s="18"/>
      <c r="N157" s="173"/>
      <c r="O157" s="173"/>
      <c r="P157" s="173"/>
    </row>
  </sheetData>
  <sheetProtection/>
  <mergeCells count="200">
    <mergeCell ref="B1:P1"/>
    <mergeCell ref="B2:P2"/>
    <mergeCell ref="B3:P3"/>
    <mergeCell ref="B4:P4"/>
    <mergeCell ref="B5:E5"/>
    <mergeCell ref="F5:O5"/>
    <mergeCell ref="B9:E9"/>
    <mergeCell ref="F9:G9"/>
    <mergeCell ref="I9:J9"/>
    <mergeCell ref="B10:E10"/>
    <mergeCell ref="F10:G10"/>
    <mergeCell ref="I10:J10"/>
    <mergeCell ref="B6:E6"/>
    <mergeCell ref="F6:O6"/>
    <mergeCell ref="B7:E7"/>
    <mergeCell ref="F7:P7"/>
    <mergeCell ref="B8:E8"/>
    <mergeCell ref="F8:G8"/>
    <mergeCell ref="I8:J8"/>
    <mergeCell ref="P12:P13"/>
    <mergeCell ref="B14:D14"/>
    <mergeCell ref="G14:J14"/>
    <mergeCell ref="A15:A16"/>
    <mergeCell ref="B15:D16"/>
    <mergeCell ref="G15:J15"/>
    <mergeCell ref="G16:J16"/>
    <mergeCell ref="B11:E11"/>
    <mergeCell ref="F11:P11"/>
    <mergeCell ref="A12:A13"/>
    <mergeCell ref="B12:E13"/>
    <mergeCell ref="F12:F13"/>
    <mergeCell ref="G12:K13"/>
    <mergeCell ref="L12:L13"/>
    <mergeCell ref="M12:M13"/>
    <mergeCell ref="N12:N13"/>
    <mergeCell ref="O12:O13"/>
    <mergeCell ref="B20:D20"/>
    <mergeCell ref="G20:J20"/>
    <mergeCell ref="B21:D21"/>
    <mergeCell ref="G21:J21"/>
    <mergeCell ref="B22:D22"/>
    <mergeCell ref="G22:J22"/>
    <mergeCell ref="B17:D17"/>
    <mergeCell ref="G17:J17"/>
    <mergeCell ref="B18:D18"/>
    <mergeCell ref="G18:J18"/>
    <mergeCell ref="B19:D19"/>
    <mergeCell ref="G19:J19"/>
    <mergeCell ref="M26:M27"/>
    <mergeCell ref="N26:N27"/>
    <mergeCell ref="O26:O27"/>
    <mergeCell ref="P26:P27"/>
    <mergeCell ref="B28:D28"/>
    <mergeCell ref="B29:D29"/>
    <mergeCell ref="B23:D23"/>
    <mergeCell ref="G23:J23"/>
    <mergeCell ref="A24:A25"/>
    <mergeCell ref="B24:P25"/>
    <mergeCell ref="A26:A27"/>
    <mergeCell ref="B26:D27"/>
    <mergeCell ref="E26:E27"/>
    <mergeCell ref="F26:F27"/>
    <mergeCell ref="G26:K26"/>
    <mergeCell ref="L26:L27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49:D49"/>
    <mergeCell ref="B50:D50"/>
    <mergeCell ref="B51:D51"/>
    <mergeCell ref="B52:D52"/>
    <mergeCell ref="B54:D54"/>
    <mergeCell ref="B55:D55"/>
    <mergeCell ref="B42:D42"/>
    <mergeCell ref="B43:D43"/>
    <mergeCell ref="B44:D44"/>
    <mergeCell ref="B45:D45"/>
    <mergeCell ref="B46:D46"/>
    <mergeCell ref="B48:D48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74:D74"/>
    <mergeCell ref="B75:D75"/>
    <mergeCell ref="B76:D76"/>
    <mergeCell ref="B78:D78"/>
    <mergeCell ref="B79:D79"/>
    <mergeCell ref="B80:D80"/>
    <mergeCell ref="B68:D68"/>
    <mergeCell ref="B69:D69"/>
    <mergeCell ref="B70:D70"/>
    <mergeCell ref="B71:D71"/>
    <mergeCell ref="B72:D72"/>
    <mergeCell ref="B73:D73"/>
    <mergeCell ref="B81:D81"/>
    <mergeCell ref="A83:A84"/>
    <mergeCell ref="B83:P84"/>
    <mergeCell ref="A85:A86"/>
    <mergeCell ref="B85:D86"/>
    <mergeCell ref="E85:E86"/>
    <mergeCell ref="F85:F86"/>
    <mergeCell ref="G85:K85"/>
    <mergeCell ref="L85:L86"/>
    <mergeCell ref="M85:M86"/>
    <mergeCell ref="B90:D90"/>
    <mergeCell ref="B91:D91"/>
    <mergeCell ref="B92:D92"/>
    <mergeCell ref="B93:D93"/>
    <mergeCell ref="B94:D94"/>
    <mergeCell ref="B95:D95"/>
    <mergeCell ref="N85:N86"/>
    <mergeCell ref="O85:O86"/>
    <mergeCell ref="P85:P86"/>
    <mergeCell ref="B87:D87"/>
    <mergeCell ref="B88:D88"/>
    <mergeCell ref="B89:D89"/>
    <mergeCell ref="B102:D102"/>
    <mergeCell ref="B103:D103"/>
    <mergeCell ref="B104:D104"/>
    <mergeCell ref="B105:D105"/>
    <mergeCell ref="B106:D106"/>
    <mergeCell ref="B107:D107"/>
    <mergeCell ref="B96:D96"/>
    <mergeCell ref="B97:D97"/>
    <mergeCell ref="B98:D98"/>
    <mergeCell ref="B99:D99"/>
    <mergeCell ref="B100:D100"/>
    <mergeCell ref="B101:D101"/>
    <mergeCell ref="B114:D114"/>
    <mergeCell ref="B115:D115"/>
    <mergeCell ref="B116:D116"/>
    <mergeCell ref="B117:D117"/>
    <mergeCell ref="B118:D118"/>
    <mergeCell ref="B119:D119"/>
    <mergeCell ref="B108:D108"/>
    <mergeCell ref="B109:D109"/>
    <mergeCell ref="B110:D110"/>
    <mergeCell ref="B111:D111"/>
    <mergeCell ref="B112:D112"/>
    <mergeCell ref="B113:D113"/>
    <mergeCell ref="P123:P124"/>
    <mergeCell ref="B125:D125"/>
    <mergeCell ref="B126:D126"/>
    <mergeCell ref="B127:D127"/>
    <mergeCell ref="B128:D128"/>
    <mergeCell ref="B129:D129"/>
    <mergeCell ref="B120:D120"/>
    <mergeCell ref="B121:P122"/>
    <mergeCell ref="B123:D124"/>
    <mergeCell ref="E123:E124"/>
    <mergeCell ref="F123:F124"/>
    <mergeCell ref="G123:K123"/>
    <mergeCell ref="L123:L124"/>
    <mergeCell ref="M123:M124"/>
    <mergeCell ref="N123:N124"/>
    <mergeCell ref="O123:O124"/>
    <mergeCell ref="B136:D136"/>
    <mergeCell ref="B137:D137"/>
    <mergeCell ref="B138:D138"/>
    <mergeCell ref="B139:D139"/>
    <mergeCell ref="B140:D140"/>
    <mergeCell ref="B141:D141"/>
    <mergeCell ref="B130:D130"/>
    <mergeCell ref="B131:D131"/>
    <mergeCell ref="B132:D132"/>
    <mergeCell ref="B133:D133"/>
    <mergeCell ref="B134:D134"/>
    <mergeCell ref="B135:D135"/>
    <mergeCell ref="B145:E145"/>
    <mergeCell ref="F145:O145"/>
    <mergeCell ref="B147:E147"/>
    <mergeCell ref="F147:N147"/>
    <mergeCell ref="O147:P147"/>
    <mergeCell ref="B148:E148"/>
    <mergeCell ref="F148:N148"/>
    <mergeCell ref="O148:P148"/>
    <mergeCell ref="B142:E142"/>
    <mergeCell ref="I142:J142"/>
    <mergeCell ref="B143:E143"/>
    <mergeCell ref="I143:J143"/>
    <mergeCell ref="B144:E144"/>
    <mergeCell ref="I144:J14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57"/>
  <sheetViews>
    <sheetView zoomScalePageLayoutView="0" workbookViewId="0" topLeftCell="A85">
      <selection activeCell="L101" sqref="L101"/>
    </sheetView>
  </sheetViews>
  <sheetFormatPr defaultColWidth="9.140625" defaultRowHeight="15"/>
  <cols>
    <col min="1" max="1" width="4.140625" style="174" customWidth="1"/>
    <col min="2" max="3" width="9.140625" style="174" customWidth="1"/>
    <col min="4" max="4" width="13.421875" style="174" customWidth="1"/>
    <col min="5" max="5" width="13.8515625" style="174" customWidth="1"/>
    <col min="6" max="6" width="14.00390625" style="174" customWidth="1"/>
    <col min="7" max="7" width="13.421875" style="174" customWidth="1"/>
    <col min="8" max="8" width="11.8515625" style="174" customWidth="1"/>
    <col min="9" max="9" width="10.7109375" style="174" customWidth="1"/>
    <col min="10" max="10" width="8.140625" style="174" customWidth="1"/>
    <col min="11" max="11" width="13.00390625" style="174" customWidth="1"/>
    <col min="12" max="12" width="13.8515625" style="174" customWidth="1"/>
    <col min="13" max="13" width="12.140625" style="174" customWidth="1"/>
    <col min="14" max="14" width="12.57421875" style="174" customWidth="1"/>
    <col min="15" max="15" width="7.57421875" style="174" customWidth="1"/>
    <col min="16" max="16" width="10.421875" style="174" customWidth="1"/>
    <col min="17" max="17" width="9.140625" style="174" customWidth="1"/>
    <col min="18" max="18" width="10.421875" style="174" bestFit="1" customWidth="1"/>
    <col min="19" max="19" width="11.140625" style="174" bestFit="1" customWidth="1"/>
    <col min="20" max="16384" width="9.140625" style="174" customWidth="1"/>
  </cols>
  <sheetData>
    <row r="1" spans="1:16" ht="15">
      <c r="A1" s="173"/>
      <c r="B1" s="485" t="s">
        <v>0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</row>
    <row r="2" spans="1:16" ht="15">
      <c r="A2" s="173"/>
      <c r="B2" s="520" t="s">
        <v>243</v>
      </c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</row>
    <row r="3" spans="1:16" ht="15.75" thickBot="1">
      <c r="A3" s="173"/>
      <c r="B3" s="521" t="s">
        <v>1</v>
      </c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</row>
    <row r="4" spans="1:16" ht="23.25" customHeight="1" thickBot="1">
      <c r="A4" s="173"/>
      <c r="B4" s="522" t="s">
        <v>2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</row>
    <row r="5" spans="1:16" ht="23.25" customHeight="1" thickBot="1">
      <c r="A5" s="2"/>
      <c r="B5" s="523" t="s">
        <v>193</v>
      </c>
      <c r="C5" s="524"/>
      <c r="D5" s="524"/>
      <c r="E5" s="525"/>
      <c r="F5" s="346"/>
      <c r="G5" s="346"/>
      <c r="H5" s="346"/>
      <c r="I5" s="346"/>
      <c r="J5" s="346"/>
      <c r="K5" s="346"/>
      <c r="L5" s="346"/>
      <c r="M5" s="346"/>
      <c r="N5" s="346"/>
      <c r="O5" s="489"/>
      <c r="P5" s="3">
        <v>365352.15</v>
      </c>
    </row>
    <row r="6" spans="1:16" ht="24" customHeight="1" thickBot="1">
      <c r="A6" s="2"/>
      <c r="B6" s="523" t="s">
        <v>244</v>
      </c>
      <c r="C6" s="524"/>
      <c r="D6" s="524"/>
      <c r="E6" s="525"/>
      <c r="F6" s="346"/>
      <c r="G6" s="346"/>
      <c r="H6" s="346"/>
      <c r="I6" s="346"/>
      <c r="J6" s="346"/>
      <c r="K6" s="346"/>
      <c r="L6" s="346"/>
      <c r="M6" s="346"/>
      <c r="N6" s="346"/>
      <c r="O6" s="489"/>
      <c r="P6" s="281">
        <f>P10</f>
        <v>171661.52000000002</v>
      </c>
    </row>
    <row r="7" spans="1:16" ht="15.75" thickBot="1">
      <c r="A7" s="2"/>
      <c r="B7" s="526"/>
      <c r="C7" s="527"/>
      <c r="D7" s="527"/>
      <c r="E7" s="528"/>
      <c r="F7" s="529"/>
      <c r="G7" s="529"/>
      <c r="H7" s="529"/>
      <c r="I7" s="529"/>
      <c r="J7" s="529"/>
      <c r="K7" s="529"/>
      <c r="L7" s="529"/>
      <c r="M7" s="529"/>
      <c r="N7" s="530"/>
      <c r="O7" s="530"/>
      <c r="P7" s="531"/>
    </row>
    <row r="8" spans="1:16" ht="90.75" thickBot="1">
      <c r="A8" s="4"/>
      <c r="B8" s="523" t="s">
        <v>3</v>
      </c>
      <c r="C8" s="524"/>
      <c r="D8" s="524"/>
      <c r="E8" s="525"/>
      <c r="F8" s="532" t="s">
        <v>4</v>
      </c>
      <c r="G8" s="533"/>
      <c r="H8" s="175" t="s">
        <v>5</v>
      </c>
      <c r="I8" s="532" t="s">
        <v>6</v>
      </c>
      <c r="J8" s="533"/>
      <c r="K8" s="176" t="s">
        <v>7</v>
      </c>
      <c r="L8" s="175" t="s">
        <v>8</v>
      </c>
      <c r="M8" s="287" t="s">
        <v>9</v>
      </c>
      <c r="N8" s="279" t="s">
        <v>10</v>
      </c>
      <c r="O8" s="178" t="s">
        <v>11</v>
      </c>
      <c r="P8" s="179"/>
    </row>
    <row r="9" spans="1:16" ht="19.5" customHeight="1" thickBot="1">
      <c r="A9" s="2"/>
      <c r="B9" s="490" t="s">
        <v>12</v>
      </c>
      <c r="C9" s="491"/>
      <c r="D9" s="491"/>
      <c r="E9" s="492"/>
      <c r="F9" s="330">
        <v>0</v>
      </c>
      <c r="G9" s="331"/>
      <c r="H9" s="3">
        <v>0</v>
      </c>
      <c r="I9" s="330">
        <v>0</v>
      </c>
      <c r="J9" s="331"/>
      <c r="K9" s="78">
        <v>0</v>
      </c>
      <c r="L9" s="3">
        <v>0</v>
      </c>
      <c r="M9" s="280">
        <v>0</v>
      </c>
      <c r="N9" s="3">
        <v>0</v>
      </c>
      <c r="O9" s="75">
        <v>0</v>
      </c>
      <c r="P9" s="281">
        <v>0</v>
      </c>
    </row>
    <row r="10" spans="1:16" ht="23.25" customHeight="1" thickBot="1">
      <c r="A10" s="2"/>
      <c r="B10" s="490" t="s">
        <v>13</v>
      </c>
      <c r="C10" s="491"/>
      <c r="D10" s="491"/>
      <c r="E10" s="492"/>
      <c r="F10" s="330">
        <v>-14908.54</v>
      </c>
      <c r="G10" s="331"/>
      <c r="H10" s="3">
        <v>151210.17</v>
      </c>
      <c r="I10" s="330">
        <v>26149</v>
      </c>
      <c r="J10" s="331"/>
      <c r="K10" s="78">
        <v>0</v>
      </c>
      <c r="L10" s="3">
        <v>5215.13</v>
      </c>
      <c r="M10" s="280">
        <v>0</v>
      </c>
      <c r="N10" s="3">
        <v>0</v>
      </c>
      <c r="O10" s="3">
        <v>3995.76</v>
      </c>
      <c r="P10" s="281">
        <f>SUM(F10:O10)</f>
        <v>171661.52000000002</v>
      </c>
    </row>
    <row r="11" spans="1:16" ht="15.75" thickBot="1">
      <c r="A11" s="284"/>
      <c r="B11" s="546"/>
      <c r="C11" s="547"/>
      <c r="D11" s="547"/>
      <c r="E11" s="547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9"/>
    </row>
    <row r="12" spans="1:16" ht="15">
      <c r="A12" s="446"/>
      <c r="B12" s="550" t="s">
        <v>14</v>
      </c>
      <c r="C12" s="551"/>
      <c r="D12" s="551"/>
      <c r="E12" s="552"/>
      <c r="F12" s="534"/>
      <c r="G12" s="556" t="s">
        <v>15</v>
      </c>
      <c r="H12" s="548"/>
      <c r="I12" s="548"/>
      <c r="J12" s="548"/>
      <c r="K12" s="549"/>
      <c r="L12" s="534" t="s">
        <v>16</v>
      </c>
      <c r="M12" s="534" t="s">
        <v>17</v>
      </c>
      <c r="N12" s="534" t="s">
        <v>18</v>
      </c>
      <c r="O12" s="534" t="s">
        <v>19</v>
      </c>
      <c r="P12" s="534" t="s">
        <v>20</v>
      </c>
    </row>
    <row r="13" spans="1:16" ht="45.75" customHeight="1" thickBot="1">
      <c r="A13" s="447"/>
      <c r="B13" s="553"/>
      <c r="C13" s="554"/>
      <c r="D13" s="554"/>
      <c r="E13" s="555"/>
      <c r="F13" s="535"/>
      <c r="G13" s="557"/>
      <c r="H13" s="558"/>
      <c r="I13" s="558"/>
      <c r="J13" s="558"/>
      <c r="K13" s="559"/>
      <c r="L13" s="535"/>
      <c r="M13" s="535"/>
      <c r="N13" s="535"/>
      <c r="O13" s="535"/>
      <c r="P13" s="535"/>
    </row>
    <row r="14" spans="1:16" ht="15.75" thickBot="1">
      <c r="A14" s="2"/>
      <c r="B14" s="536" t="s">
        <v>21</v>
      </c>
      <c r="C14" s="537"/>
      <c r="D14" s="538"/>
      <c r="E14" s="180" t="s">
        <v>22</v>
      </c>
      <c r="F14" s="291">
        <v>3</v>
      </c>
      <c r="G14" s="539">
        <v>4</v>
      </c>
      <c r="H14" s="529"/>
      <c r="I14" s="529"/>
      <c r="J14" s="531"/>
      <c r="K14" s="182">
        <v>5</v>
      </c>
      <c r="L14" s="290">
        <v>6</v>
      </c>
      <c r="M14" s="175">
        <v>7</v>
      </c>
      <c r="N14" s="290">
        <v>8</v>
      </c>
      <c r="O14" s="290">
        <v>9</v>
      </c>
      <c r="P14" s="175">
        <v>10</v>
      </c>
    </row>
    <row r="15" spans="1:16" ht="36" customHeight="1" thickBot="1">
      <c r="A15" s="446"/>
      <c r="B15" s="540" t="s">
        <v>23</v>
      </c>
      <c r="C15" s="541"/>
      <c r="D15" s="542"/>
      <c r="E15" s="8" t="s">
        <v>24</v>
      </c>
      <c r="F15" s="8" t="s">
        <v>25</v>
      </c>
      <c r="G15" s="471" t="s">
        <v>26</v>
      </c>
      <c r="H15" s="472"/>
      <c r="I15" s="472"/>
      <c r="J15" s="473"/>
      <c r="K15" s="79" t="s">
        <v>27</v>
      </c>
      <c r="L15" s="9" t="s">
        <v>26</v>
      </c>
      <c r="M15" s="10" t="s">
        <v>28</v>
      </c>
      <c r="N15" s="10" t="s">
        <v>26</v>
      </c>
      <c r="O15" s="10" t="s">
        <v>26</v>
      </c>
      <c r="P15" s="11" t="s">
        <v>26</v>
      </c>
    </row>
    <row r="16" spans="1:16" ht="30.75" customHeight="1" thickBot="1">
      <c r="A16" s="447"/>
      <c r="B16" s="543"/>
      <c r="C16" s="544"/>
      <c r="D16" s="545"/>
      <c r="E16" s="109">
        <f>SUM(E17:E23)</f>
        <v>1369214</v>
      </c>
      <c r="F16" s="110">
        <f>SUM(F17:F23)</f>
        <v>12962542</v>
      </c>
      <c r="G16" s="474">
        <f>G17+G18+G19+G20+G21+G22+G23</f>
        <v>1420558.38</v>
      </c>
      <c r="H16" s="475"/>
      <c r="I16" s="475"/>
      <c r="J16" s="476"/>
      <c r="K16" s="282">
        <f>SUM(K17:K23)</f>
        <v>1420558.38</v>
      </c>
      <c r="L16" s="282">
        <f>SUM(L17:L23)</f>
        <v>13654758.36</v>
      </c>
      <c r="M16" s="282">
        <f>SUM(M17:M23)</f>
        <v>-51344.379999999976</v>
      </c>
      <c r="N16" s="282">
        <f>SUM(N17:N23)</f>
        <v>-692216.3599999998</v>
      </c>
      <c r="O16" s="12">
        <v>0</v>
      </c>
      <c r="P16" s="12">
        <v>0</v>
      </c>
    </row>
    <row r="17" spans="1:18" ht="64.5" customHeight="1" thickBot="1">
      <c r="A17" s="184" t="s">
        <v>195</v>
      </c>
      <c r="B17" s="612" t="s">
        <v>146</v>
      </c>
      <c r="C17" s="613"/>
      <c r="D17" s="614"/>
      <c r="E17" s="108">
        <v>377587</v>
      </c>
      <c r="F17" s="108">
        <f>7161148+E17</f>
        <v>7538735</v>
      </c>
      <c r="G17" s="450">
        <v>1207336.45</v>
      </c>
      <c r="H17" s="451"/>
      <c r="I17" s="451"/>
      <c r="J17" s="452"/>
      <c r="K17" s="283">
        <f aca="true" t="shared" si="0" ref="K17:K22">G17</f>
        <v>1207336.45</v>
      </c>
      <c r="L17" s="15">
        <f>6742400.92+K17</f>
        <v>7949737.37</v>
      </c>
      <c r="M17" s="119">
        <f>E17-K17</f>
        <v>-829749.45</v>
      </c>
      <c r="N17" s="124">
        <f>F17-L17</f>
        <v>-411002.3700000001</v>
      </c>
      <c r="O17" s="16">
        <v>0</v>
      </c>
      <c r="P17" s="16">
        <v>0</v>
      </c>
      <c r="Q17" s="173"/>
      <c r="R17" s="18">
        <v>365352.1499999948</v>
      </c>
    </row>
    <row r="18" spans="1:18" ht="42.75" customHeight="1" thickBot="1">
      <c r="A18" s="185" t="s">
        <v>196</v>
      </c>
      <c r="B18" s="615" t="s">
        <v>216</v>
      </c>
      <c r="C18" s="616"/>
      <c r="D18" s="617"/>
      <c r="E18" s="104">
        <v>981427</v>
      </c>
      <c r="F18" s="108">
        <f>4373380+E18</f>
        <v>5354807</v>
      </c>
      <c r="G18" s="450"/>
      <c r="H18" s="451"/>
      <c r="I18" s="451"/>
      <c r="J18" s="452"/>
      <c r="K18" s="283">
        <f t="shared" si="0"/>
        <v>0</v>
      </c>
      <c r="L18" s="15">
        <f>4463701.1+K18</f>
        <v>4463701.1</v>
      </c>
      <c r="M18" s="119">
        <f>E18-K18</f>
        <v>981427</v>
      </c>
      <c r="N18" s="124">
        <f>F18-L18</f>
        <v>891105.9000000004</v>
      </c>
      <c r="O18" s="16">
        <v>0</v>
      </c>
      <c r="P18" s="16">
        <v>0</v>
      </c>
      <c r="Q18" s="173"/>
      <c r="R18" s="173"/>
    </row>
    <row r="19" spans="1:18" ht="36" customHeight="1" thickBot="1">
      <c r="A19" s="185" t="s">
        <v>197</v>
      </c>
      <c r="B19" s="569" t="s">
        <v>149</v>
      </c>
      <c r="C19" s="570"/>
      <c r="D19" s="571"/>
      <c r="E19" s="186"/>
      <c r="F19" s="108">
        <f>0+E19</f>
        <v>0</v>
      </c>
      <c r="G19" s="450"/>
      <c r="H19" s="451"/>
      <c r="I19" s="451"/>
      <c r="J19" s="452"/>
      <c r="K19" s="283">
        <f t="shared" si="0"/>
        <v>0</v>
      </c>
      <c r="L19" s="15">
        <f>140320+K19</f>
        <v>140320</v>
      </c>
      <c r="M19" s="119">
        <f aca="true" t="shared" si="1" ref="M19:N23">E19-K19</f>
        <v>0</v>
      </c>
      <c r="N19" s="124">
        <f t="shared" si="1"/>
        <v>-140320</v>
      </c>
      <c r="O19" s="16">
        <v>0</v>
      </c>
      <c r="P19" s="17">
        <v>0</v>
      </c>
      <c r="Q19" s="173"/>
      <c r="R19" s="173"/>
    </row>
    <row r="20" spans="1:18" ht="51.75" customHeight="1" thickBot="1">
      <c r="A20" s="187" t="s">
        <v>198</v>
      </c>
      <c r="B20" s="560" t="s">
        <v>147</v>
      </c>
      <c r="C20" s="561"/>
      <c r="D20" s="562"/>
      <c r="E20" s="188"/>
      <c r="F20" s="108">
        <f>0+E20</f>
        <v>0</v>
      </c>
      <c r="G20" s="450"/>
      <c r="H20" s="451"/>
      <c r="I20" s="451"/>
      <c r="J20" s="452"/>
      <c r="K20" s="283">
        <f t="shared" si="0"/>
        <v>0</v>
      </c>
      <c r="L20" s="15">
        <f>0+K20</f>
        <v>0</v>
      </c>
      <c r="M20" s="119">
        <f t="shared" si="1"/>
        <v>0</v>
      </c>
      <c r="N20" s="124">
        <f t="shared" si="1"/>
        <v>0</v>
      </c>
      <c r="O20" s="16">
        <v>0</v>
      </c>
      <c r="P20" s="16">
        <v>0</v>
      </c>
      <c r="Q20" s="18"/>
      <c r="R20" s="18"/>
    </row>
    <row r="21" spans="1:18" ht="37.5" customHeight="1" thickBot="1">
      <c r="A21" s="189" t="s">
        <v>199</v>
      </c>
      <c r="B21" s="563" t="s">
        <v>148</v>
      </c>
      <c r="C21" s="564"/>
      <c r="D21" s="565"/>
      <c r="E21" s="190"/>
      <c r="F21" s="108">
        <f>0+E21</f>
        <v>0</v>
      </c>
      <c r="G21" s="450"/>
      <c r="H21" s="451"/>
      <c r="I21" s="451"/>
      <c r="J21" s="452"/>
      <c r="K21" s="283">
        <f t="shared" si="0"/>
        <v>0</v>
      </c>
      <c r="L21" s="15">
        <f>0+K21</f>
        <v>0</v>
      </c>
      <c r="M21" s="119">
        <f t="shared" si="1"/>
        <v>0</v>
      </c>
      <c r="N21" s="124">
        <f t="shared" si="1"/>
        <v>0</v>
      </c>
      <c r="O21" s="16">
        <v>0</v>
      </c>
      <c r="P21" s="16">
        <v>0</v>
      </c>
      <c r="Q21" s="18"/>
      <c r="R21" s="173"/>
    </row>
    <row r="22" spans="1:18" ht="36.75" customHeight="1" thickBot="1">
      <c r="A22" s="189" t="s">
        <v>200</v>
      </c>
      <c r="B22" s="612" t="s">
        <v>201</v>
      </c>
      <c r="C22" s="613"/>
      <c r="D22" s="614"/>
      <c r="E22" s="82">
        <v>10200</v>
      </c>
      <c r="F22" s="108">
        <f>58800+E22</f>
        <v>69000</v>
      </c>
      <c r="G22" s="450">
        <v>8005.79</v>
      </c>
      <c r="H22" s="451"/>
      <c r="I22" s="451"/>
      <c r="J22" s="452"/>
      <c r="K22" s="283">
        <f t="shared" si="0"/>
        <v>8005.79</v>
      </c>
      <c r="L22" s="15">
        <f>72290.11+K22</f>
        <v>80295.9</v>
      </c>
      <c r="M22" s="119">
        <f>E22-K22</f>
        <v>2194.21</v>
      </c>
      <c r="N22" s="124">
        <f t="shared" si="1"/>
        <v>-11295.899999999994</v>
      </c>
      <c r="O22" s="16">
        <v>0</v>
      </c>
      <c r="P22" s="16">
        <v>0</v>
      </c>
      <c r="Q22" s="173"/>
      <c r="R22" s="173"/>
    </row>
    <row r="23" spans="1:18" ht="37.5" customHeight="1" thickBot="1">
      <c r="A23" s="189" t="s">
        <v>202</v>
      </c>
      <c r="B23" s="618" t="s">
        <v>140</v>
      </c>
      <c r="C23" s="619"/>
      <c r="D23" s="620"/>
      <c r="E23" s="14"/>
      <c r="F23" s="108"/>
      <c r="G23" s="450">
        <v>205216.14</v>
      </c>
      <c r="H23" s="451"/>
      <c r="I23" s="451"/>
      <c r="J23" s="452"/>
      <c r="K23" s="283">
        <f>G23</f>
        <v>205216.14</v>
      </c>
      <c r="L23" s="15">
        <f>815487.85+K23</f>
        <v>1020703.99</v>
      </c>
      <c r="M23" s="119">
        <f t="shared" si="1"/>
        <v>-205216.14</v>
      </c>
      <c r="N23" s="124">
        <f t="shared" si="1"/>
        <v>-1020703.99</v>
      </c>
      <c r="O23" s="16">
        <v>0</v>
      </c>
      <c r="P23" s="16">
        <v>0</v>
      </c>
      <c r="Q23" s="173"/>
      <c r="R23" s="173"/>
    </row>
    <row r="24" spans="1:18" ht="15">
      <c r="A24" s="446"/>
      <c r="B24" s="575" t="s">
        <v>30</v>
      </c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7"/>
      <c r="Q24" s="173"/>
      <c r="R24" s="173"/>
    </row>
    <row r="25" spans="1:18" ht="9" customHeight="1" thickBot="1">
      <c r="A25" s="447"/>
      <c r="B25" s="578"/>
      <c r="C25" s="579"/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579"/>
      <c r="P25" s="580"/>
      <c r="Q25" s="173"/>
      <c r="R25" s="173"/>
    </row>
    <row r="26" spans="1:18" ht="15.75" thickBot="1">
      <c r="A26" s="446"/>
      <c r="B26" s="550" t="s">
        <v>14</v>
      </c>
      <c r="C26" s="551"/>
      <c r="D26" s="552"/>
      <c r="E26" s="581" t="s">
        <v>24</v>
      </c>
      <c r="F26" s="583" t="s">
        <v>25</v>
      </c>
      <c r="G26" s="532" t="s">
        <v>31</v>
      </c>
      <c r="H26" s="522"/>
      <c r="I26" s="522"/>
      <c r="J26" s="522"/>
      <c r="K26" s="533"/>
      <c r="L26" s="534" t="s">
        <v>16</v>
      </c>
      <c r="M26" s="534" t="s">
        <v>17</v>
      </c>
      <c r="N26" s="534" t="s">
        <v>18</v>
      </c>
      <c r="O26" s="534" t="s">
        <v>19</v>
      </c>
      <c r="P26" s="534" t="s">
        <v>20</v>
      </c>
      <c r="Q26" s="173"/>
      <c r="R26" s="173"/>
    </row>
    <row r="27" spans="1:18" ht="93" customHeight="1" thickBot="1">
      <c r="A27" s="447"/>
      <c r="B27" s="553"/>
      <c r="C27" s="554"/>
      <c r="D27" s="555"/>
      <c r="E27" s="582"/>
      <c r="F27" s="584"/>
      <c r="G27" s="292" t="s">
        <v>32</v>
      </c>
      <c r="H27" s="292" t="s">
        <v>33</v>
      </c>
      <c r="I27" s="292" t="s">
        <v>34</v>
      </c>
      <c r="J27" s="175" t="s">
        <v>220</v>
      </c>
      <c r="K27" s="176" t="s">
        <v>27</v>
      </c>
      <c r="L27" s="535"/>
      <c r="M27" s="535"/>
      <c r="N27" s="535"/>
      <c r="O27" s="535"/>
      <c r="P27" s="535"/>
      <c r="Q27" s="173"/>
      <c r="R27" s="18">
        <v>365352.1499999948</v>
      </c>
    </row>
    <row r="28" spans="1:18" ht="15.75" thickBot="1">
      <c r="A28" s="2"/>
      <c r="B28" s="536">
        <v>1</v>
      </c>
      <c r="C28" s="537"/>
      <c r="D28" s="538"/>
      <c r="E28" s="180" t="s">
        <v>22</v>
      </c>
      <c r="F28" s="292">
        <v>3</v>
      </c>
      <c r="G28" s="292">
        <v>4</v>
      </c>
      <c r="H28" s="292">
        <v>5</v>
      </c>
      <c r="I28" s="175">
        <v>6</v>
      </c>
      <c r="J28" s="175">
        <v>7</v>
      </c>
      <c r="K28" s="192">
        <v>8</v>
      </c>
      <c r="L28" s="290">
        <v>9</v>
      </c>
      <c r="M28" s="175">
        <v>10</v>
      </c>
      <c r="N28" s="290">
        <v>11</v>
      </c>
      <c r="O28" s="175">
        <v>12</v>
      </c>
      <c r="P28" s="290">
        <v>13</v>
      </c>
      <c r="Q28" s="173"/>
      <c r="R28" s="173"/>
    </row>
    <row r="29" spans="1:18" ht="27.75" customHeight="1" thickBot="1">
      <c r="A29" s="2"/>
      <c r="B29" s="539" t="s">
        <v>23</v>
      </c>
      <c r="C29" s="529"/>
      <c r="D29" s="531"/>
      <c r="E29" s="76">
        <f>E30+E34+E38+E44+E51+E54+E64+E67+E71+E74+E78+E80+E88+E101+E132+E135+E138+E141</f>
        <v>1369214</v>
      </c>
      <c r="F29" s="76">
        <f>F30+F34+F38+F44+F51+F54+F64+F67+F71+F74+F78+F80+F88+F101+F132+F135+F138+F141</f>
        <v>12555755</v>
      </c>
      <c r="G29" s="76">
        <f>G30+G34+G38+G44+G51+G54+G64+G67+G71+G74+G78+G80+G88+G101+G132+G135+G138+G141</f>
        <v>1196517.83</v>
      </c>
      <c r="H29" s="76">
        <f>H30+H34+H38+H44+H51+H54+H64+H67+H71+H74+H78+H80+H88+H101+H132+H135+H138+H141</f>
        <v>229850.40000000002</v>
      </c>
      <c r="I29" s="76">
        <f>I30+I34+I38+I44+I51+I54+I64+I67+I71+I74+I78+I80+I88+I101+I132+I135+I138+I141</f>
        <v>18000</v>
      </c>
      <c r="J29" s="76">
        <f>J30+J34+J38+J44+J51+J54+J64+J67+J71+J74+J78+J80+J88+J101+J132+J135+J138+J141</f>
        <v>0</v>
      </c>
      <c r="K29" s="76">
        <f>K30+K34+K38+K44+K51+K54+K64+K67+K71+K74+K78+K80+K88+K101+K132+K135+K138+K141</f>
        <v>1444368.23</v>
      </c>
      <c r="L29" s="76">
        <f>L30+L34+L38+L44+L51+L54+L64+L67+L71+L74+L78+L80+L88+L101+L132+L135+L138+L141</f>
        <v>13872258.84</v>
      </c>
      <c r="M29" s="76">
        <f>M30+M34+M38+M44+M51+M54+M64+M67+M71+M74+M78+M80+M88+M101+M132+M135+M138+M141</f>
        <v>-75154.23000000004</v>
      </c>
      <c r="N29" s="76">
        <f>N30+N34+N38+N44+N51+N54+N64+N67+N71+N74+N78+N80+N88+N101+N132+N135+N138+N141</f>
        <v>-1316503.8400000003</v>
      </c>
      <c r="O29" s="21">
        <v>0</v>
      </c>
      <c r="P29" s="21">
        <v>0</v>
      </c>
      <c r="Q29" s="173"/>
      <c r="R29" s="18"/>
    </row>
    <row r="30" spans="1:18" ht="25.5" customHeight="1" thickBot="1">
      <c r="A30" s="22" t="s">
        <v>21</v>
      </c>
      <c r="B30" s="426" t="s">
        <v>36</v>
      </c>
      <c r="C30" s="338"/>
      <c r="D30" s="339"/>
      <c r="E30" s="111">
        <f>SUM(E31:E32)</f>
        <v>847724</v>
      </c>
      <c r="F30" s="81">
        <f>F31+F32+F33</f>
        <v>7033537</v>
      </c>
      <c r="G30" s="20">
        <f>G31+G32+G33</f>
        <v>396442.2</v>
      </c>
      <c r="H30" s="20">
        <f>H31</f>
        <v>150141.7</v>
      </c>
      <c r="I30" s="20"/>
      <c r="J30" s="20"/>
      <c r="K30" s="81">
        <f>G30+H30</f>
        <v>546583.9</v>
      </c>
      <c r="L30" s="23">
        <f>L31+L32</f>
        <v>6236355.680000001</v>
      </c>
      <c r="M30" s="120">
        <f>E30-K30</f>
        <v>301140.1</v>
      </c>
      <c r="N30" s="122">
        <f>F30-L30</f>
        <v>797181.3199999994</v>
      </c>
      <c r="O30" s="26">
        <v>0</v>
      </c>
      <c r="P30" s="27">
        <v>0</v>
      </c>
      <c r="Q30" s="18"/>
      <c r="R30" s="18"/>
    </row>
    <row r="31" spans="1:18" ht="20.25" customHeight="1" thickBot="1">
      <c r="A31" s="29" t="s">
        <v>150</v>
      </c>
      <c r="B31" s="430" t="s">
        <v>151</v>
      </c>
      <c r="C31" s="431"/>
      <c r="D31" s="432"/>
      <c r="E31" s="112">
        <v>810592</v>
      </c>
      <c r="F31" s="108">
        <f>3548853+E31</f>
        <v>4359445</v>
      </c>
      <c r="G31" s="33"/>
      <c r="H31" s="33">
        <v>150141.7</v>
      </c>
      <c r="I31" s="33"/>
      <c r="J31" s="33"/>
      <c r="K31" s="82">
        <f>H31</f>
        <v>150141.7</v>
      </c>
      <c r="L31" s="15">
        <f>3524355.95+K31</f>
        <v>3674497.6500000004</v>
      </c>
      <c r="M31" s="119">
        <f>E31-K31</f>
        <v>660450.3</v>
      </c>
      <c r="N31" s="121">
        <f>F31-L31</f>
        <v>684947.3499999996</v>
      </c>
      <c r="O31" s="31">
        <v>0</v>
      </c>
      <c r="P31" s="123">
        <v>0</v>
      </c>
      <c r="Q31" s="18"/>
      <c r="R31" s="18"/>
    </row>
    <row r="32" spans="1:18" ht="28.5" customHeight="1" thickBot="1">
      <c r="A32" s="29" t="s">
        <v>153</v>
      </c>
      <c r="B32" s="340" t="s">
        <v>152</v>
      </c>
      <c r="C32" s="341"/>
      <c r="D32" s="342"/>
      <c r="E32" s="112">
        <v>37132</v>
      </c>
      <c r="F32" s="108">
        <f>2636960+E32</f>
        <v>2674092</v>
      </c>
      <c r="G32" s="33">
        <v>396442.2</v>
      </c>
      <c r="H32" s="33"/>
      <c r="I32" s="33"/>
      <c r="J32" s="33"/>
      <c r="K32" s="15">
        <f>0+G32</f>
        <v>396442.2</v>
      </c>
      <c r="L32" s="15">
        <f>2165415.83+K32</f>
        <v>2561858.0300000003</v>
      </c>
      <c r="M32" s="119">
        <f>E32-K32</f>
        <v>-359310.2</v>
      </c>
      <c r="N32" s="121">
        <f>F32-L32</f>
        <v>112233.96999999974</v>
      </c>
      <c r="O32" s="31">
        <v>0</v>
      </c>
      <c r="P32" s="123">
        <v>0</v>
      </c>
      <c r="Q32" s="18"/>
      <c r="R32" s="18"/>
    </row>
    <row r="33" spans="1:18" ht="19.5" customHeight="1" thickBot="1">
      <c r="A33" s="29" t="s">
        <v>155</v>
      </c>
      <c r="B33" s="340" t="s">
        <v>154</v>
      </c>
      <c r="C33" s="341"/>
      <c r="D33" s="342"/>
      <c r="E33" s="95"/>
      <c r="F33" s="15"/>
      <c r="G33" s="33"/>
      <c r="H33" s="33"/>
      <c r="I33" s="33"/>
      <c r="J33" s="33"/>
      <c r="K33" s="82"/>
      <c r="L33" s="15"/>
      <c r="M33" s="193"/>
      <c r="N33" s="194"/>
      <c r="O33" s="31"/>
      <c r="P33" s="123"/>
      <c r="Q33" s="18"/>
      <c r="R33" s="18"/>
    </row>
    <row r="34" spans="1:18" ht="28.5" customHeight="1" thickBot="1">
      <c r="A34" s="128" t="s">
        <v>22</v>
      </c>
      <c r="B34" s="395" t="s">
        <v>37</v>
      </c>
      <c r="C34" s="396"/>
      <c r="D34" s="397"/>
      <c r="E34" s="81">
        <f>SUM(E35:E37)</f>
        <v>165584</v>
      </c>
      <c r="F34" s="81">
        <f>F35+F36+F37</f>
        <v>1420774</v>
      </c>
      <c r="G34" s="20">
        <f>G35+G36+G37</f>
        <v>799.11</v>
      </c>
      <c r="H34" s="20">
        <f>H35</f>
        <v>79708.7</v>
      </c>
      <c r="I34" s="20"/>
      <c r="J34" s="20"/>
      <c r="K34" s="81">
        <f>G34+H34</f>
        <v>80507.81</v>
      </c>
      <c r="L34" s="23">
        <f>L35+L36</f>
        <v>1215897.02</v>
      </c>
      <c r="M34" s="120">
        <f aca="true" t="shared" si="2" ref="M34:N36">E34-K34</f>
        <v>85076.19</v>
      </c>
      <c r="N34" s="125">
        <f t="shared" si="2"/>
        <v>204876.97999999998</v>
      </c>
      <c r="O34" s="26">
        <v>0</v>
      </c>
      <c r="P34" s="27">
        <v>0</v>
      </c>
      <c r="Q34" s="173"/>
      <c r="R34" s="173"/>
    </row>
    <row r="35" spans="1:18" ht="21.75" customHeight="1" thickBot="1">
      <c r="A35" s="29" t="s">
        <v>156</v>
      </c>
      <c r="B35" s="430" t="s">
        <v>151</v>
      </c>
      <c r="C35" s="431"/>
      <c r="D35" s="432"/>
      <c r="E35" s="82">
        <v>158084</v>
      </c>
      <c r="F35" s="108">
        <f>722524+E35</f>
        <v>880608</v>
      </c>
      <c r="G35" s="33"/>
      <c r="H35" s="33">
        <v>79708.7</v>
      </c>
      <c r="I35" s="33"/>
      <c r="J35" s="33"/>
      <c r="K35" s="82">
        <f>H35</f>
        <v>79708.7</v>
      </c>
      <c r="L35" s="15">
        <f>635128.98+K35</f>
        <v>714837.6799999999</v>
      </c>
      <c r="M35" s="119">
        <f t="shared" si="2"/>
        <v>78375.3</v>
      </c>
      <c r="N35" s="121">
        <f t="shared" si="2"/>
        <v>165770.32000000007</v>
      </c>
      <c r="O35" s="31">
        <v>0</v>
      </c>
      <c r="P35" s="123">
        <v>0</v>
      </c>
      <c r="Q35" s="173"/>
      <c r="R35" s="248">
        <f>10506304-F29</f>
        <v>-2049451</v>
      </c>
    </row>
    <row r="36" spans="1:18" ht="30" customHeight="1" thickBot="1">
      <c r="A36" s="29" t="s">
        <v>157</v>
      </c>
      <c r="B36" s="340" t="s">
        <v>152</v>
      </c>
      <c r="C36" s="341"/>
      <c r="D36" s="342"/>
      <c r="E36" s="82">
        <v>7500</v>
      </c>
      <c r="F36" s="108">
        <f>532666+E36</f>
        <v>540166</v>
      </c>
      <c r="G36" s="33">
        <v>799.11</v>
      </c>
      <c r="H36" s="33"/>
      <c r="I36" s="33"/>
      <c r="J36" s="33"/>
      <c r="K36" s="82">
        <f>G36</f>
        <v>799.11</v>
      </c>
      <c r="L36" s="15">
        <f>500260.23+K36</f>
        <v>501059.33999999997</v>
      </c>
      <c r="M36" s="119">
        <f t="shared" si="2"/>
        <v>6700.89</v>
      </c>
      <c r="N36" s="121">
        <f t="shared" si="2"/>
        <v>39106.66000000003</v>
      </c>
      <c r="O36" s="31">
        <v>0</v>
      </c>
      <c r="P36" s="123">
        <v>0</v>
      </c>
      <c r="Q36" s="173"/>
      <c r="R36" s="173"/>
    </row>
    <row r="37" spans="1:18" ht="19.5" customHeight="1" thickBot="1">
      <c r="A37" s="29" t="s">
        <v>158</v>
      </c>
      <c r="B37" s="340" t="s">
        <v>154</v>
      </c>
      <c r="C37" s="341"/>
      <c r="D37" s="342"/>
      <c r="E37" s="82"/>
      <c r="F37" s="108"/>
      <c r="G37" s="33"/>
      <c r="H37" s="33"/>
      <c r="I37" s="33"/>
      <c r="J37" s="33"/>
      <c r="K37" s="82"/>
      <c r="L37" s="15"/>
      <c r="M37" s="193"/>
      <c r="N37" s="195"/>
      <c r="O37" s="31"/>
      <c r="P37" s="123"/>
      <c r="Q37" s="173"/>
      <c r="R37" s="173"/>
    </row>
    <row r="38" spans="1:18" ht="27.75" customHeight="1" thickBot="1">
      <c r="A38" s="22" t="s">
        <v>38</v>
      </c>
      <c r="B38" s="395" t="s">
        <v>39</v>
      </c>
      <c r="C38" s="396"/>
      <c r="D38" s="397"/>
      <c r="E38" s="81">
        <f>SUM(E41:E43)</f>
        <v>4500</v>
      </c>
      <c r="F38" s="114">
        <f>F41+F42+F43</f>
        <v>43500</v>
      </c>
      <c r="G38" s="20">
        <f>G40</f>
        <v>4140.43</v>
      </c>
      <c r="H38" s="20"/>
      <c r="I38" s="20"/>
      <c r="J38" s="20"/>
      <c r="K38" s="23">
        <f>K39+K40</f>
        <v>4140.43</v>
      </c>
      <c r="L38" s="23">
        <f>35622.96+K38</f>
        <v>39763.39</v>
      </c>
      <c r="M38" s="120">
        <f>E38-K38</f>
        <v>359.5699999999997</v>
      </c>
      <c r="N38" s="122">
        <f>F38-L38</f>
        <v>3736.6100000000006</v>
      </c>
      <c r="O38" s="26">
        <v>0</v>
      </c>
      <c r="P38" s="27">
        <v>0</v>
      </c>
      <c r="Q38" s="173"/>
      <c r="R38" s="173"/>
    </row>
    <row r="39" spans="1:18" ht="23.25" customHeight="1" thickBot="1">
      <c r="A39" s="29" t="s">
        <v>159</v>
      </c>
      <c r="B39" s="430" t="s">
        <v>151</v>
      </c>
      <c r="C39" s="431"/>
      <c r="D39" s="432"/>
      <c r="E39" s="15"/>
      <c r="F39" s="108"/>
      <c r="G39" s="33"/>
      <c r="H39" s="33"/>
      <c r="I39" s="33"/>
      <c r="J39" s="33"/>
      <c r="K39" s="82"/>
      <c r="L39" s="15"/>
      <c r="M39" s="193"/>
      <c r="N39" s="195"/>
      <c r="O39" s="31"/>
      <c r="P39" s="123"/>
      <c r="Q39" s="173"/>
      <c r="R39" s="173"/>
    </row>
    <row r="40" spans="1:18" ht="33" customHeight="1" thickBot="1">
      <c r="A40" s="29" t="s">
        <v>160</v>
      </c>
      <c r="B40" s="340" t="s">
        <v>152</v>
      </c>
      <c r="C40" s="341"/>
      <c r="D40" s="342"/>
      <c r="E40" s="82">
        <v>4500</v>
      </c>
      <c r="F40" s="108">
        <f>39000+E40</f>
        <v>43500</v>
      </c>
      <c r="G40" s="33">
        <f>G41+G42</f>
        <v>4140.43</v>
      </c>
      <c r="H40" s="33"/>
      <c r="I40" s="33"/>
      <c r="J40" s="33"/>
      <c r="K40" s="15">
        <f>0+G40</f>
        <v>4140.43</v>
      </c>
      <c r="L40" s="15">
        <f>L41+L42+L43</f>
        <v>39763.39</v>
      </c>
      <c r="M40" s="119">
        <f aca="true" t="shared" si="3" ref="M40:N55">E40-K40</f>
        <v>359.5699999999997</v>
      </c>
      <c r="N40" s="121">
        <f t="shared" si="3"/>
        <v>3736.6100000000006</v>
      </c>
      <c r="O40" s="31">
        <v>0</v>
      </c>
      <c r="P40" s="123">
        <v>0</v>
      </c>
      <c r="Q40" s="173"/>
      <c r="R40" s="173"/>
    </row>
    <row r="41" spans="1:18" ht="15.75" thickBot="1">
      <c r="A41" s="29" t="s">
        <v>40</v>
      </c>
      <c r="B41" s="427" t="s">
        <v>41</v>
      </c>
      <c r="C41" s="428"/>
      <c r="D41" s="429"/>
      <c r="E41" s="108">
        <v>2281</v>
      </c>
      <c r="F41" s="108">
        <f>18248+E41</f>
        <v>20529</v>
      </c>
      <c r="G41" s="33">
        <v>1921.43</v>
      </c>
      <c r="H41" s="33"/>
      <c r="I41" s="33"/>
      <c r="J41" s="33"/>
      <c r="K41" s="15">
        <f>0+G41</f>
        <v>1921.43</v>
      </c>
      <c r="L41" s="15">
        <f>17870.96+K41</f>
        <v>19792.39</v>
      </c>
      <c r="M41" s="119">
        <f t="shared" si="3"/>
        <v>359.56999999999994</v>
      </c>
      <c r="N41" s="121">
        <f t="shared" si="3"/>
        <v>736.6100000000006</v>
      </c>
      <c r="O41" s="31">
        <v>0</v>
      </c>
      <c r="P41" s="123">
        <v>0</v>
      </c>
      <c r="Q41" s="173"/>
      <c r="R41" s="173"/>
    </row>
    <row r="42" spans="1:18" ht="15.75" thickBot="1">
      <c r="A42" s="29" t="s">
        <v>42</v>
      </c>
      <c r="B42" s="427" t="s">
        <v>43</v>
      </c>
      <c r="C42" s="428"/>
      <c r="D42" s="429"/>
      <c r="E42" s="108">
        <v>2219</v>
      </c>
      <c r="F42" s="108">
        <f>17752+E42</f>
        <v>19971</v>
      </c>
      <c r="G42" s="33">
        <v>2219</v>
      </c>
      <c r="H42" s="33"/>
      <c r="I42" s="33"/>
      <c r="J42" s="33"/>
      <c r="K42" s="15">
        <f>0+G42</f>
        <v>2219</v>
      </c>
      <c r="L42" s="15">
        <f>17752+K42</f>
        <v>19971</v>
      </c>
      <c r="M42" s="119">
        <f t="shared" si="3"/>
        <v>0</v>
      </c>
      <c r="N42" s="121">
        <f t="shared" si="3"/>
        <v>0</v>
      </c>
      <c r="O42" s="31">
        <v>0</v>
      </c>
      <c r="P42" s="123">
        <v>0</v>
      </c>
      <c r="Q42" s="173"/>
      <c r="R42" s="173"/>
    </row>
    <row r="43" spans="1:18" ht="15.75" thickBot="1">
      <c r="A43" s="29" t="s">
        <v>44</v>
      </c>
      <c r="B43" s="427" t="s">
        <v>45</v>
      </c>
      <c r="C43" s="428"/>
      <c r="D43" s="429"/>
      <c r="E43" s="108"/>
      <c r="F43" s="108">
        <f>3000+E43</f>
        <v>3000</v>
      </c>
      <c r="G43" s="13"/>
      <c r="H43" s="13"/>
      <c r="I43" s="13"/>
      <c r="J43" s="33"/>
      <c r="K43" s="15">
        <f>0+J43</f>
        <v>0</v>
      </c>
      <c r="L43" s="15">
        <f>0+K43</f>
        <v>0</v>
      </c>
      <c r="M43" s="119">
        <f t="shared" si="3"/>
        <v>0</v>
      </c>
      <c r="N43" s="121">
        <f t="shared" si="3"/>
        <v>3000</v>
      </c>
      <c r="O43" s="31">
        <v>0</v>
      </c>
      <c r="P43" s="123">
        <v>0</v>
      </c>
      <c r="Q43" s="173"/>
      <c r="R43" s="18"/>
    </row>
    <row r="44" spans="1:18" ht="45" customHeight="1" thickBot="1">
      <c r="A44" s="22" t="s">
        <v>46</v>
      </c>
      <c r="B44" s="395" t="s">
        <v>47</v>
      </c>
      <c r="C44" s="396"/>
      <c r="D44" s="397"/>
      <c r="E44" s="81">
        <f>SUM(E47:E49)</f>
        <v>227600</v>
      </c>
      <c r="F44" s="114">
        <f>1025200+E44</f>
        <v>1252800</v>
      </c>
      <c r="G44" s="23">
        <f>G45+G46+G47</f>
        <v>66629.5</v>
      </c>
      <c r="H44" s="32"/>
      <c r="I44" s="32"/>
      <c r="J44" s="20"/>
      <c r="K44" s="23">
        <f>K45+K46+K47</f>
        <v>66629.5</v>
      </c>
      <c r="L44" s="23">
        <f>1172133+K44</f>
        <v>1238762.5</v>
      </c>
      <c r="M44" s="120">
        <f t="shared" si="3"/>
        <v>160970.5</v>
      </c>
      <c r="N44" s="122">
        <f t="shared" si="3"/>
        <v>14037.5</v>
      </c>
      <c r="O44" s="26">
        <v>0</v>
      </c>
      <c r="P44" s="27">
        <v>0</v>
      </c>
      <c r="Q44" s="173"/>
      <c r="R44" s="173"/>
    </row>
    <row r="45" spans="1:18" ht="35.25" customHeight="1" thickBot="1">
      <c r="A45" s="29" t="s">
        <v>161</v>
      </c>
      <c r="B45" s="340" t="s">
        <v>152</v>
      </c>
      <c r="C45" s="341"/>
      <c r="D45" s="342"/>
      <c r="E45" s="112">
        <f>E48+E49</f>
        <v>227600</v>
      </c>
      <c r="F45" s="108">
        <f>1135200+E45</f>
        <v>1362800</v>
      </c>
      <c r="G45" s="15">
        <f>G48+G49</f>
        <v>66629.5</v>
      </c>
      <c r="H45" s="13"/>
      <c r="I45" s="13"/>
      <c r="J45" s="33"/>
      <c r="K45" s="15">
        <f>0+G45</f>
        <v>66629.5</v>
      </c>
      <c r="L45" s="15">
        <f>L48+L49</f>
        <v>1238762.5</v>
      </c>
      <c r="M45" s="119">
        <f t="shared" si="3"/>
        <v>160970.5</v>
      </c>
      <c r="N45" s="124">
        <f t="shared" si="3"/>
        <v>124037.5</v>
      </c>
      <c r="O45" s="31">
        <v>0</v>
      </c>
      <c r="P45" s="123">
        <v>0</v>
      </c>
      <c r="Q45" s="173"/>
      <c r="R45" s="173"/>
    </row>
    <row r="46" spans="1:18" ht="21.75" customHeight="1" thickBot="1">
      <c r="A46" s="29" t="s">
        <v>162</v>
      </c>
      <c r="B46" s="430" t="s">
        <v>151</v>
      </c>
      <c r="C46" s="431"/>
      <c r="D46" s="432"/>
      <c r="E46" s="94"/>
      <c r="F46" s="108"/>
      <c r="G46" s="15"/>
      <c r="H46" s="13"/>
      <c r="I46" s="13"/>
      <c r="J46" s="33"/>
      <c r="K46" s="15">
        <f aca="true" t="shared" si="4" ref="K46:K53">0+G46</f>
        <v>0</v>
      </c>
      <c r="L46" s="15">
        <f aca="true" t="shared" si="5" ref="L46:L61">0+K46</f>
        <v>0</v>
      </c>
      <c r="M46" s="119">
        <f t="shared" si="3"/>
        <v>0</v>
      </c>
      <c r="N46" s="121">
        <f t="shared" si="3"/>
        <v>0</v>
      </c>
      <c r="O46" s="31">
        <v>0</v>
      </c>
      <c r="P46" s="123">
        <v>0</v>
      </c>
      <c r="Q46" s="173"/>
      <c r="R46" s="173"/>
    </row>
    <row r="47" spans="1:18" ht="21.75" customHeight="1" thickBot="1">
      <c r="A47" s="29" t="s">
        <v>163</v>
      </c>
      <c r="B47" s="96" t="s">
        <v>154</v>
      </c>
      <c r="C47" s="97"/>
      <c r="D47" s="97"/>
      <c r="E47" s="126"/>
      <c r="F47" s="108"/>
      <c r="G47" s="15"/>
      <c r="H47" s="13"/>
      <c r="I47" s="13"/>
      <c r="J47" s="33"/>
      <c r="K47" s="15">
        <f t="shared" si="4"/>
        <v>0</v>
      </c>
      <c r="L47" s="15">
        <f t="shared" si="5"/>
        <v>0</v>
      </c>
      <c r="M47" s="119">
        <f t="shared" si="3"/>
        <v>0</v>
      </c>
      <c r="N47" s="121">
        <f t="shared" si="3"/>
        <v>0</v>
      </c>
      <c r="O47" s="31">
        <v>0</v>
      </c>
      <c r="P47" s="123">
        <v>0</v>
      </c>
      <c r="Q47" s="173"/>
      <c r="R47" s="196"/>
    </row>
    <row r="48" spans="1:18" ht="28.5" customHeight="1" thickBot="1">
      <c r="A48" s="29" t="s">
        <v>48</v>
      </c>
      <c r="B48" s="359" t="s">
        <v>49</v>
      </c>
      <c r="C48" s="360"/>
      <c r="D48" s="361"/>
      <c r="E48" s="108">
        <v>215000</v>
      </c>
      <c r="F48" s="108">
        <f>1110000+E48</f>
        <v>1325000</v>
      </c>
      <c r="G48" s="13">
        <v>65979</v>
      </c>
      <c r="H48" s="13"/>
      <c r="I48" s="13"/>
      <c r="J48" s="33"/>
      <c r="K48" s="15">
        <f t="shared" si="4"/>
        <v>65979</v>
      </c>
      <c r="L48" s="15">
        <f>1159124.5+K48</f>
        <v>1225103.5</v>
      </c>
      <c r="M48" s="119">
        <f t="shared" si="3"/>
        <v>149021</v>
      </c>
      <c r="N48" s="121">
        <f t="shared" si="3"/>
        <v>99896.5</v>
      </c>
      <c r="O48" s="31">
        <v>0</v>
      </c>
      <c r="P48" s="123">
        <v>0</v>
      </c>
      <c r="Q48" s="173"/>
      <c r="R48" s="18"/>
    </row>
    <row r="49" spans="1:18" ht="30" customHeight="1" thickBot="1">
      <c r="A49" s="29" t="s">
        <v>50</v>
      </c>
      <c r="B49" s="359" t="s">
        <v>51</v>
      </c>
      <c r="C49" s="360"/>
      <c r="D49" s="361"/>
      <c r="E49" s="108">
        <v>12600</v>
      </c>
      <c r="F49" s="108">
        <f>25200+E49</f>
        <v>37800</v>
      </c>
      <c r="G49" s="13">
        <v>650.5</v>
      </c>
      <c r="H49" s="13"/>
      <c r="I49" s="13"/>
      <c r="J49" s="33"/>
      <c r="K49" s="15">
        <f t="shared" si="4"/>
        <v>650.5</v>
      </c>
      <c r="L49" s="15">
        <f>13008.5+K49</f>
        <v>13659</v>
      </c>
      <c r="M49" s="119">
        <f t="shared" si="3"/>
        <v>11949.5</v>
      </c>
      <c r="N49" s="121">
        <f t="shared" si="3"/>
        <v>24141</v>
      </c>
      <c r="O49" s="31">
        <v>0</v>
      </c>
      <c r="P49" s="123">
        <v>0</v>
      </c>
      <c r="Q49" s="173"/>
      <c r="R49" s="173"/>
    </row>
    <row r="50" spans="1:18" ht="19.5" customHeight="1" thickBot="1">
      <c r="A50" s="29" t="s">
        <v>52</v>
      </c>
      <c r="B50" s="359" t="s">
        <v>53</v>
      </c>
      <c r="C50" s="360"/>
      <c r="D50" s="361"/>
      <c r="E50" s="13">
        <v>0</v>
      </c>
      <c r="F50" s="108">
        <f>0+E50</f>
        <v>0</v>
      </c>
      <c r="G50" s="13"/>
      <c r="H50" s="13"/>
      <c r="I50" s="13"/>
      <c r="J50" s="33"/>
      <c r="K50" s="15">
        <f t="shared" si="4"/>
        <v>0</v>
      </c>
      <c r="L50" s="15">
        <f t="shared" si="5"/>
        <v>0</v>
      </c>
      <c r="M50" s="119">
        <f t="shared" si="3"/>
        <v>0</v>
      </c>
      <c r="N50" s="121">
        <f t="shared" si="3"/>
        <v>0</v>
      </c>
      <c r="O50" s="31">
        <v>0</v>
      </c>
      <c r="P50" s="123">
        <v>0</v>
      </c>
      <c r="Q50" s="173"/>
      <c r="R50" s="173"/>
    </row>
    <row r="51" spans="1:18" ht="33" customHeight="1" thickBot="1">
      <c r="A51" s="22" t="s">
        <v>54</v>
      </c>
      <c r="B51" s="425" t="s">
        <v>55</v>
      </c>
      <c r="C51" s="323"/>
      <c r="D51" s="324"/>
      <c r="E51" s="23">
        <v>0</v>
      </c>
      <c r="F51" s="23">
        <v>0</v>
      </c>
      <c r="G51" s="23"/>
      <c r="H51" s="23"/>
      <c r="I51" s="23"/>
      <c r="J51" s="20"/>
      <c r="K51" s="23">
        <f t="shared" si="4"/>
        <v>0</v>
      </c>
      <c r="L51" s="23">
        <f t="shared" si="5"/>
        <v>0</v>
      </c>
      <c r="M51" s="120">
        <f t="shared" si="3"/>
        <v>0</v>
      </c>
      <c r="N51" s="122">
        <f t="shared" si="3"/>
        <v>0</v>
      </c>
      <c r="O51" s="26">
        <v>0</v>
      </c>
      <c r="P51" s="27">
        <v>0</v>
      </c>
      <c r="Q51" s="173"/>
      <c r="R51" s="173"/>
    </row>
    <row r="52" spans="1:18" ht="33" customHeight="1" thickBot="1">
      <c r="A52" s="29" t="s">
        <v>164</v>
      </c>
      <c r="B52" s="340" t="s">
        <v>152</v>
      </c>
      <c r="C52" s="341"/>
      <c r="D52" s="342"/>
      <c r="E52" s="15"/>
      <c r="F52" s="15"/>
      <c r="G52" s="15"/>
      <c r="H52" s="15"/>
      <c r="I52" s="15"/>
      <c r="J52" s="33"/>
      <c r="K52" s="15">
        <f t="shared" si="4"/>
        <v>0</v>
      </c>
      <c r="L52" s="15">
        <f t="shared" si="5"/>
        <v>0</v>
      </c>
      <c r="M52" s="119">
        <f t="shared" si="3"/>
        <v>0</v>
      </c>
      <c r="N52" s="121">
        <f t="shared" si="3"/>
        <v>0</v>
      </c>
      <c r="O52" s="31">
        <v>0</v>
      </c>
      <c r="P52" s="123">
        <v>0</v>
      </c>
      <c r="Q52" s="173"/>
      <c r="R52" s="173"/>
    </row>
    <row r="53" spans="1:18" ht="24" customHeight="1" thickBot="1">
      <c r="A53" s="29" t="s">
        <v>165</v>
      </c>
      <c r="B53" s="96" t="s">
        <v>154</v>
      </c>
      <c r="C53" s="97"/>
      <c r="D53" s="97"/>
      <c r="E53" s="15"/>
      <c r="F53" s="15"/>
      <c r="G53" s="15"/>
      <c r="H53" s="15"/>
      <c r="I53" s="15"/>
      <c r="J53" s="33"/>
      <c r="K53" s="15">
        <f t="shared" si="4"/>
        <v>0</v>
      </c>
      <c r="L53" s="15">
        <f t="shared" si="5"/>
        <v>0</v>
      </c>
      <c r="M53" s="119">
        <f t="shared" si="3"/>
        <v>0</v>
      </c>
      <c r="N53" s="121">
        <f t="shared" si="3"/>
        <v>0</v>
      </c>
      <c r="O53" s="31">
        <v>0</v>
      </c>
      <c r="P53" s="123">
        <v>0</v>
      </c>
      <c r="Q53" s="173"/>
      <c r="R53" s="173"/>
    </row>
    <row r="54" spans="1:18" ht="46.5" customHeight="1" thickBot="1">
      <c r="A54" s="22" t="s">
        <v>56</v>
      </c>
      <c r="B54" s="395" t="s">
        <v>57</v>
      </c>
      <c r="C54" s="396"/>
      <c r="D54" s="397"/>
      <c r="E54" s="81">
        <f>SUM(E59:E63)</f>
        <v>71000</v>
      </c>
      <c r="F54" s="114">
        <f>F55+F58</f>
        <v>1239500</v>
      </c>
      <c r="G54" s="23">
        <f>G55+G56+G57+G58</f>
        <v>26967.94</v>
      </c>
      <c r="H54" s="23"/>
      <c r="I54" s="23"/>
      <c r="J54" s="23">
        <f>J55+J56+J57+J58</f>
        <v>0</v>
      </c>
      <c r="K54" s="23">
        <f>K55+K56+K57</f>
        <v>26967.94</v>
      </c>
      <c r="L54" s="23">
        <f>L55+L56+L57+L58</f>
        <v>1332818.66</v>
      </c>
      <c r="M54" s="120">
        <f t="shared" si="3"/>
        <v>44032.06</v>
      </c>
      <c r="N54" s="125">
        <f t="shared" si="3"/>
        <v>-93318.65999999992</v>
      </c>
      <c r="O54" s="26">
        <v>0</v>
      </c>
      <c r="P54" s="27">
        <v>0</v>
      </c>
      <c r="Q54" s="173"/>
      <c r="R54" s="18">
        <f>F59+F60+F62+F63-F58</f>
        <v>1178100</v>
      </c>
    </row>
    <row r="55" spans="1:18" ht="24.75" customHeight="1" thickBot="1">
      <c r="A55" s="29" t="s">
        <v>166</v>
      </c>
      <c r="B55" s="390" t="s">
        <v>152</v>
      </c>
      <c r="C55" s="391"/>
      <c r="D55" s="392"/>
      <c r="E55" s="113">
        <f>E59+E60+E62+E63-E58</f>
        <v>68400</v>
      </c>
      <c r="F55" s="108">
        <f>1109700+E55</f>
        <v>1178100</v>
      </c>
      <c r="G55" s="15">
        <f>G59+G60+G62+G63</f>
        <v>26967.94</v>
      </c>
      <c r="H55" s="15"/>
      <c r="I55" s="15"/>
      <c r="J55" s="15"/>
      <c r="K55" s="15">
        <f>0+G55</f>
        <v>26967.94</v>
      </c>
      <c r="L55" s="15">
        <f>1202564.25+K55</f>
        <v>1229532.19</v>
      </c>
      <c r="M55" s="119">
        <f t="shared" si="3"/>
        <v>41432.06</v>
      </c>
      <c r="N55" s="121">
        <f t="shared" si="3"/>
        <v>-51432.189999999944</v>
      </c>
      <c r="O55" s="31">
        <v>0</v>
      </c>
      <c r="P55" s="123">
        <v>0</v>
      </c>
      <c r="Q55" s="173"/>
      <c r="R55" s="18"/>
    </row>
    <row r="56" spans="1:18" ht="30" customHeight="1" thickBot="1">
      <c r="A56" s="29" t="s">
        <v>167</v>
      </c>
      <c r="B56" s="430" t="s">
        <v>168</v>
      </c>
      <c r="C56" s="431"/>
      <c r="D56" s="432"/>
      <c r="E56" s="112"/>
      <c r="F56" s="108"/>
      <c r="G56" s="15"/>
      <c r="H56" s="15"/>
      <c r="I56" s="15"/>
      <c r="J56" s="15"/>
      <c r="K56" s="15">
        <f aca="true" t="shared" si="6" ref="K56:K61">0+G56</f>
        <v>0</v>
      </c>
      <c r="L56" s="15">
        <f t="shared" si="5"/>
        <v>0</v>
      </c>
      <c r="M56" s="119">
        <f aca="true" t="shared" si="7" ref="M56:N71">E56-K56</f>
        <v>0</v>
      </c>
      <c r="N56" s="121">
        <f t="shared" si="7"/>
        <v>0</v>
      </c>
      <c r="O56" s="31">
        <v>0</v>
      </c>
      <c r="P56" s="123">
        <v>0</v>
      </c>
      <c r="Q56" s="173"/>
      <c r="R56" s="18"/>
    </row>
    <row r="57" spans="1:18" ht="21" customHeight="1" thickBot="1">
      <c r="A57" s="29" t="s">
        <v>203</v>
      </c>
      <c r="B57" s="503" t="s">
        <v>154</v>
      </c>
      <c r="C57" s="504"/>
      <c r="D57" s="504"/>
      <c r="E57" s="127"/>
      <c r="F57" s="108"/>
      <c r="G57" s="15"/>
      <c r="H57" s="15"/>
      <c r="I57" s="15"/>
      <c r="J57" s="15"/>
      <c r="K57" s="15">
        <f t="shared" si="6"/>
        <v>0</v>
      </c>
      <c r="L57" s="15">
        <f t="shared" si="5"/>
        <v>0</v>
      </c>
      <c r="M57" s="119">
        <f t="shared" si="7"/>
        <v>0</v>
      </c>
      <c r="N57" s="121">
        <f t="shared" si="7"/>
        <v>0</v>
      </c>
      <c r="O57" s="31">
        <v>0</v>
      </c>
      <c r="P57" s="123">
        <v>0</v>
      </c>
      <c r="Q57" s="173"/>
      <c r="R57" s="18">
        <f>L59+L60+L61+L62+L63</f>
        <v>1332818.66</v>
      </c>
    </row>
    <row r="58" spans="1:18" ht="23.25" customHeight="1" thickBot="1">
      <c r="A58" s="29" t="s">
        <v>204</v>
      </c>
      <c r="B58" s="497" t="s">
        <v>201</v>
      </c>
      <c r="C58" s="498"/>
      <c r="D58" s="499"/>
      <c r="E58" s="112">
        <v>2600</v>
      </c>
      <c r="F58" s="108">
        <f>58800+E58</f>
        <v>61400</v>
      </c>
      <c r="G58" s="15"/>
      <c r="H58" s="15"/>
      <c r="I58" s="15"/>
      <c r="J58" s="15">
        <f>J62+J63+J59</f>
        <v>0</v>
      </c>
      <c r="K58" s="15">
        <f>0+J58</f>
        <v>0</v>
      </c>
      <c r="L58" s="15">
        <f>103286.47+K58</f>
        <v>103286.47</v>
      </c>
      <c r="M58" s="119">
        <f t="shared" si="7"/>
        <v>2600</v>
      </c>
      <c r="N58" s="121">
        <f t="shared" si="7"/>
        <v>-41886.47</v>
      </c>
      <c r="O58" s="31">
        <v>0</v>
      </c>
      <c r="P58" s="123">
        <v>0</v>
      </c>
      <c r="Q58" s="173"/>
      <c r="R58" s="18">
        <f>F59+F60+F62+F63</f>
        <v>1239500</v>
      </c>
    </row>
    <row r="59" spans="1:18" ht="19.5" customHeight="1" thickBot="1">
      <c r="A59" s="29" t="s">
        <v>58</v>
      </c>
      <c r="B59" s="419" t="s">
        <v>236</v>
      </c>
      <c r="C59" s="420"/>
      <c r="D59" s="421"/>
      <c r="E59" s="108">
        <v>60000</v>
      </c>
      <c r="F59" s="108">
        <f>345000+E59</f>
        <v>405000</v>
      </c>
      <c r="G59" s="13">
        <v>4988.51</v>
      </c>
      <c r="H59" s="13"/>
      <c r="I59" s="13"/>
      <c r="J59" s="15"/>
      <c r="K59" s="15">
        <f>J59+G59</f>
        <v>4988.51</v>
      </c>
      <c r="L59" s="15">
        <f>340400.19+K59</f>
        <v>345388.7</v>
      </c>
      <c r="M59" s="119">
        <f t="shared" si="7"/>
        <v>55011.49</v>
      </c>
      <c r="N59" s="121">
        <f t="shared" si="7"/>
        <v>59611.29999999999</v>
      </c>
      <c r="O59" s="31">
        <v>0</v>
      </c>
      <c r="P59" s="123">
        <v>0</v>
      </c>
      <c r="Q59" s="173"/>
      <c r="R59" s="196"/>
    </row>
    <row r="60" spans="1:18" ht="22.5" customHeight="1" thickBot="1">
      <c r="A60" s="29" t="s">
        <v>60</v>
      </c>
      <c r="B60" s="387" t="s">
        <v>61</v>
      </c>
      <c r="C60" s="388"/>
      <c r="D60" s="388"/>
      <c r="E60" s="108"/>
      <c r="F60" s="108">
        <f>752000+E60</f>
        <v>752000</v>
      </c>
      <c r="G60" s="13"/>
      <c r="H60" s="13"/>
      <c r="I60" s="13"/>
      <c r="J60" s="15"/>
      <c r="K60" s="15">
        <f t="shared" si="6"/>
        <v>0</v>
      </c>
      <c r="L60" s="15">
        <f>904749.95+K60</f>
        <v>904749.95</v>
      </c>
      <c r="M60" s="119">
        <f t="shared" si="7"/>
        <v>0</v>
      </c>
      <c r="N60" s="121">
        <f t="shared" si="7"/>
        <v>-152749.94999999995</v>
      </c>
      <c r="O60" s="31">
        <v>0</v>
      </c>
      <c r="P60" s="123">
        <v>0</v>
      </c>
      <c r="Q60" s="173"/>
      <c r="R60" s="18"/>
    </row>
    <row r="61" spans="1:18" ht="19.5" customHeight="1" thickBot="1">
      <c r="A61" s="29" t="s">
        <v>60</v>
      </c>
      <c r="B61" s="422" t="s">
        <v>205</v>
      </c>
      <c r="C61" s="423"/>
      <c r="D61" s="424"/>
      <c r="E61" s="108"/>
      <c r="F61" s="108"/>
      <c r="G61" s="13"/>
      <c r="H61" s="13"/>
      <c r="I61" s="13"/>
      <c r="J61" s="15"/>
      <c r="K61" s="15">
        <f t="shared" si="6"/>
        <v>0</v>
      </c>
      <c r="L61" s="15">
        <f t="shared" si="5"/>
        <v>0</v>
      </c>
      <c r="M61" s="119">
        <f t="shared" si="7"/>
        <v>0</v>
      </c>
      <c r="N61" s="121">
        <f t="shared" si="7"/>
        <v>0</v>
      </c>
      <c r="O61" s="31">
        <v>0</v>
      </c>
      <c r="P61" s="123">
        <v>0</v>
      </c>
      <c r="Q61" s="173"/>
      <c r="R61" s="173"/>
    </row>
    <row r="62" spans="1:18" ht="18.75" customHeight="1" thickBot="1">
      <c r="A62" s="29" t="s">
        <v>62</v>
      </c>
      <c r="B62" s="387" t="s">
        <v>63</v>
      </c>
      <c r="C62" s="388"/>
      <c r="D62" s="389"/>
      <c r="E62" s="108">
        <v>5900</v>
      </c>
      <c r="F62" s="108">
        <f>37800+E62</f>
        <v>43700</v>
      </c>
      <c r="G62" s="215">
        <v>11737.63</v>
      </c>
      <c r="H62" s="60"/>
      <c r="I62" s="13"/>
      <c r="J62" s="13"/>
      <c r="K62" s="15">
        <f>0+J62+G62</f>
        <v>11737.63</v>
      </c>
      <c r="L62" s="15">
        <f>33509.35+K62</f>
        <v>45246.979999999996</v>
      </c>
      <c r="M62" s="119">
        <f t="shared" si="7"/>
        <v>-5837.629999999999</v>
      </c>
      <c r="N62" s="121">
        <f t="shared" si="7"/>
        <v>-1546.979999999996</v>
      </c>
      <c r="O62" s="31">
        <v>0</v>
      </c>
      <c r="P62" s="123">
        <v>0</v>
      </c>
      <c r="Q62" s="173"/>
      <c r="R62" s="173"/>
    </row>
    <row r="63" spans="1:18" ht="30.75" customHeight="1" thickBot="1">
      <c r="A63" s="29" t="s">
        <v>64</v>
      </c>
      <c r="B63" s="387" t="s">
        <v>65</v>
      </c>
      <c r="C63" s="388"/>
      <c r="D63" s="389"/>
      <c r="E63" s="108">
        <v>5100</v>
      </c>
      <c r="F63" s="108">
        <f>33700+E63</f>
        <v>38800</v>
      </c>
      <c r="G63" s="216">
        <v>10241.8</v>
      </c>
      <c r="H63" s="13"/>
      <c r="I63" s="13"/>
      <c r="J63" s="13"/>
      <c r="K63" s="15">
        <f>0+J63+G63</f>
        <v>10241.8</v>
      </c>
      <c r="L63" s="15">
        <f>27191.23+K63</f>
        <v>37433.03</v>
      </c>
      <c r="M63" s="119">
        <f t="shared" si="7"/>
        <v>-5141.799999999999</v>
      </c>
      <c r="N63" s="121">
        <f t="shared" si="7"/>
        <v>1366.9700000000012</v>
      </c>
      <c r="O63" s="31">
        <v>0</v>
      </c>
      <c r="P63" s="123">
        <v>0</v>
      </c>
      <c r="Q63" s="173"/>
      <c r="R63" s="173"/>
    </row>
    <row r="64" spans="1:18" ht="30" customHeight="1" thickBot="1">
      <c r="A64" s="56" t="s">
        <v>66</v>
      </c>
      <c r="B64" s="585" t="s">
        <v>228</v>
      </c>
      <c r="C64" s="586"/>
      <c r="D64" s="587"/>
      <c r="E64" s="81">
        <f>E65</f>
        <v>0</v>
      </c>
      <c r="F64" s="114">
        <f>F65+F66</f>
        <v>339000</v>
      </c>
      <c r="G64" s="32">
        <f>G65+G66</f>
        <v>24000</v>
      </c>
      <c r="H64" s="23"/>
      <c r="I64" s="23">
        <f>I66</f>
        <v>0</v>
      </c>
      <c r="J64" s="23">
        <f>J65+J66</f>
        <v>0</v>
      </c>
      <c r="K64" s="23">
        <f>K65+K66</f>
        <v>24000</v>
      </c>
      <c r="L64" s="23">
        <f>L65+L66</f>
        <v>316888</v>
      </c>
      <c r="M64" s="120">
        <f t="shared" si="7"/>
        <v>-24000</v>
      </c>
      <c r="N64" s="125">
        <f t="shared" si="7"/>
        <v>22112</v>
      </c>
      <c r="O64" s="26">
        <v>0</v>
      </c>
      <c r="P64" s="27">
        <v>0</v>
      </c>
      <c r="Q64" s="173"/>
      <c r="R64" s="173"/>
    </row>
    <row r="65" spans="1:18" ht="30" customHeight="1" thickBot="1">
      <c r="A65" s="29" t="s">
        <v>207</v>
      </c>
      <c r="B65" s="340" t="s">
        <v>152</v>
      </c>
      <c r="C65" s="341"/>
      <c r="D65" s="342"/>
      <c r="E65" s="82">
        <v>0</v>
      </c>
      <c r="F65" s="108">
        <f>339000+E65</f>
        <v>339000</v>
      </c>
      <c r="G65" s="13">
        <v>24000</v>
      </c>
      <c r="H65" s="15"/>
      <c r="I65" s="15"/>
      <c r="J65" s="15"/>
      <c r="K65" s="15">
        <f>0+G65</f>
        <v>24000</v>
      </c>
      <c r="L65" s="15">
        <f>276088+K65</f>
        <v>300088</v>
      </c>
      <c r="M65" s="119">
        <f t="shared" si="7"/>
        <v>-24000</v>
      </c>
      <c r="N65" s="124">
        <f t="shared" si="7"/>
        <v>38912</v>
      </c>
      <c r="O65" s="31">
        <v>0</v>
      </c>
      <c r="P65" s="123">
        <v>0</v>
      </c>
      <c r="Q65" s="173"/>
      <c r="R65" s="173"/>
    </row>
    <row r="66" spans="1:18" ht="33.75" customHeight="1" thickBot="1">
      <c r="A66" s="29" t="s">
        <v>208</v>
      </c>
      <c r="B66" s="340" t="s">
        <v>171</v>
      </c>
      <c r="C66" s="341"/>
      <c r="D66" s="342"/>
      <c r="E66" s="82"/>
      <c r="F66" s="108"/>
      <c r="G66" s="13"/>
      <c r="H66" s="15"/>
      <c r="I66" s="15"/>
      <c r="J66" s="15"/>
      <c r="K66" s="15">
        <f>0+I66</f>
        <v>0</v>
      </c>
      <c r="L66" s="15">
        <f>16800+K66</f>
        <v>16800</v>
      </c>
      <c r="M66" s="119">
        <f t="shared" si="7"/>
        <v>0</v>
      </c>
      <c r="N66" s="124">
        <f t="shared" si="7"/>
        <v>-16800</v>
      </c>
      <c r="O66" s="31">
        <v>0</v>
      </c>
      <c r="P66" s="123">
        <v>0</v>
      </c>
      <c r="Q66" s="173"/>
      <c r="R66" s="173"/>
    </row>
    <row r="67" spans="1:18" ht="33" customHeight="1" thickBot="1">
      <c r="A67" s="128" t="s">
        <v>67</v>
      </c>
      <c r="B67" s="588" t="s">
        <v>226</v>
      </c>
      <c r="C67" s="589"/>
      <c r="D67" s="590"/>
      <c r="E67" s="81">
        <f>E68</f>
        <v>0</v>
      </c>
      <c r="F67" s="114">
        <f>125000+E67</f>
        <v>125000</v>
      </c>
      <c r="G67" s="32">
        <f>G68+G69</f>
        <v>0</v>
      </c>
      <c r="H67" s="23"/>
      <c r="I67" s="23"/>
      <c r="J67" s="23"/>
      <c r="K67" s="23">
        <f>K68+K69+K70</f>
        <v>0</v>
      </c>
      <c r="L67" s="23">
        <f>26070+K67</f>
        <v>26070</v>
      </c>
      <c r="M67" s="120">
        <f t="shared" si="7"/>
        <v>0</v>
      </c>
      <c r="N67" s="125">
        <f t="shared" si="7"/>
        <v>98930</v>
      </c>
      <c r="O67" s="26">
        <v>0</v>
      </c>
      <c r="P67" s="27">
        <v>0</v>
      </c>
      <c r="Q67" s="173"/>
      <c r="R67" s="18"/>
    </row>
    <row r="68" spans="1:18" ht="27.75" customHeight="1" thickBot="1">
      <c r="A68" s="29" t="s">
        <v>169</v>
      </c>
      <c r="B68" s="340" t="s">
        <v>152</v>
      </c>
      <c r="C68" s="341"/>
      <c r="D68" s="342"/>
      <c r="E68" s="112">
        <v>0</v>
      </c>
      <c r="F68" s="108">
        <f>125000+E68</f>
        <v>125000</v>
      </c>
      <c r="G68" s="13"/>
      <c r="H68" s="15"/>
      <c r="I68" s="15"/>
      <c r="J68" s="15"/>
      <c r="K68" s="15">
        <f>G68</f>
        <v>0</v>
      </c>
      <c r="L68" s="15">
        <f>26070+K68</f>
        <v>26070</v>
      </c>
      <c r="M68" s="119">
        <f t="shared" si="7"/>
        <v>0</v>
      </c>
      <c r="N68" s="124">
        <f t="shared" si="7"/>
        <v>98930</v>
      </c>
      <c r="O68" s="31">
        <v>0</v>
      </c>
      <c r="P68" s="123">
        <v>0</v>
      </c>
      <c r="Q68" s="173"/>
      <c r="R68" s="18"/>
    </row>
    <row r="69" spans="1:18" ht="27.75" customHeight="1" thickBot="1">
      <c r="A69" s="29" t="s">
        <v>170</v>
      </c>
      <c r="B69" s="340" t="s">
        <v>171</v>
      </c>
      <c r="C69" s="341"/>
      <c r="D69" s="342"/>
      <c r="E69" s="112"/>
      <c r="F69" s="108"/>
      <c r="G69" s="13"/>
      <c r="H69" s="15"/>
      <c r="I69" s="15"/>
      <c r="J69" s="15"/>
      <c r="K69" s="15">
        <f>G69</f>
        <v>0</v>
      </c>
      <c r="L69" s="15">
        <f>0+K69</f>
        <v>0</v>
      </c>
      <c r="M69" s="119">
        <f t="shared" si="7"/>
        <v>0</v>
      </c>
      <c r="N69" s="124">
        <f t="shared" si="7"/>
        <v>0</v>
      </c>
      <c r="O69" s="31">
        <v>0</v>
      </c>
      <c r="P69" s="123">
        <v>0</v>
      </c>
      <c r="Q69" s="173"/>
      <c r="R69" s="18"/>
    </row>
    <row r="70" spans="1:18" ht="21" customHeight="1" thickBot="1">
      <c r="A70" s="29" t="s">
        <v>172</v>
      </c>
      <c r="B70" s="340" t="s">
        <v>154</v>
      </c>
      <c r="C70" s="341"/>
      <c r="D70" s="342"/>
      <c r="E70" s="113"/>
      <c r="F70" s="108"/>
      <c r="G70" s="13"/>
      <c r="H70" s="15"/>
      <c r="I70" s="15"/>
      <c r="J70" s="15"/>
      <c r="K70" s="15">
        <f>0+J70</f>
        <v>0</v>
      </c>
      <c r="L70" s="15">
        <f>0+K70</f>
        <v>0</v>
      </c>
      <c r="M70" s="119">
        <f t="shared" si="7"/>
        <v>0</v>
      </c>
      <c r="N70" s="124">
        <f t="shared" si="7"/>
        <v>0</v>
      </c>
      <c r="O70" s="31">
        <v>0</v>
      </c>
      <c r="P70" s="123">
        <v>0</v>
      </c>
      <c r="Q70" s="173"/>
      <c r="R70" s="18"/>
    </row>
    <row r="71" spans="1:18" ht="20.25" customHeight="1" thickBot="1">
      <c r="A71" s="30" t="s">
        <v>69</v>
      </c>
      <c r="B71" s="508" t="s">
        <v>227</v>
      </c>
      <c r="C71" s="509"/>
      <c r="D71" s="510"/>
      <c r="E71" s="81">
        <f>E72+E73</f>
        <v>3000</v>
      </c>
      <c r="F71" s="114">
        <f>18000+E71</f>
        <v>21000</v>
      </c>
      <c r="G71" s="32">
        <f>G72+G73</f>
        <v>23243.1</v>
      </c>
      <c r="H71" s="23"/>
      <c r="I71" s="23"/>
      <c r="J71" s="23"/>
      <c r="K71" s="23">
        <f>G71</f>
        <v>23243.1</v>
      </c>
      <c r="L71" s="23">
        <f>L72</f>
        <v>44807.619999999995</v>
      </c>
      <c r="M71" s="120">
        <f t="shared" si="7"/>
        <v>-20243.1</v>
      </c>
      <c r="N71" s="125">
        <f t="shared" si="7"/>
        <v>-23807.619999999995</v>
      </c>
      <c r="O71" s="26">
        <v>0</v>
      </c>
      <c r="P71" s="27">
        <v>0</v>
      </c>
      <c r="Q71" s="173"/>
      <c r="R71" s="173"/>
    </row>
    <row r="72" spans="1:18" ht="31.5" customHeight="1" thickBot="1">
      <c r="A72" s="29" t="s">
        <v>169</v>
      </c>
      <c r="B72" s="340" t="s">
        <v>152</v>
      </c>
      <c r="C72" s="341"/>
      <c r="D72" s="342"/>
      <c r="E72" s="112">
        <v>3000</v>
      </c>
      <c r="F72" s="108">
        <f>18000+E72</f>
        <v>21000</v>
      </c>
      <c r="G72" s="13">
        <v>23243.1</v>
      </c>
      <c r="H72" s="15"/>
      <c r="I72" s="15"/>
      <c r="J72" s="15"/>
      <c r="K72" s="15">
        <f>G72</f>
        <v>23243.1</v>
      </c>
      <c r="L72" s="15">
        <f>21564.52+K72</f>
        <v>44807.619999999995</v>
      </c>
      <c r="M72" s="119">
        <f aca="true" t="shared" si="8" ref="M72:N82">E72-K72</f>
        <v>-20243.1</v>
      </c>
      <c r="N72" s="124">
        <f t="shared" si="8"/>
        <v>-23807.619999999995</v>
      </c>
      <c r="O72" s="31">
        <v>0</v>
      </c>
      <c r="P72" s="123">
        <v>0</v>
      </c>
      <c r="Q72" s="173"/>
      <c r="R72" s="173"/>
    </row>
    <row r="73" spans="1:18" ht="21" customHeight="1" thickBot="1">
      <c r="A73" s="29" t="s">
        <v>172</v>
      </c>
      <c r="B73" s="340" t="s">
        <v>154</v>
      </c>
      <c r="C73" s="341"/>
      <c r="D73" s="342"/>
      <c r="E73" s="113"/>
      <c r="F73" s="108"/>
      <c r="G73" s="13"/>
      <c r="H73" s="15"/>
      <c r="I73" s="15"/>
      <c r="J73" s="15"/>
      <c r="K73" s="15">
        <f>0+J73</f>
        <v>0</v>
      </c>
      <c r="L73" s="15">
        <f>0+K73</f>
        <v>0</v>
      </c>
      <c r="M73" s="119">
        <f t="shared" si="8"/>
        <v>0</v>
      </c>
      <c r="N73" s="124">
        <f t="shared" si="8"/>
        <v>0</v>
      </c>
      <c r="O73" s="31">
        <v>0</v>
      </c>
      <c r="P73" s="123">
        <v>0</v>
      </c>
      <c r="Q73" s="173"/>
      <c r="R73" s="173"/>
    </row>
    <row r="74" spans="1:18" ht="29.25" customHeight="1" thickBot="1">
      <c r="A74" s="30" t="s">
        <v>71</v>
      </c>
      <c r="B74" s="508" t="s">
        <v>72</v>
      </c>
      <c r="C74" s="509"/>
      <c r="D74" s="510"/>
      <c r="E74" s="81">
        <f>E75</f>
        <v>6500</v>
      </c>
      <c r="F74" s="114">
        <f>211000+E74</f>
        <v>217500</v>
      </c>
      <c r="G74" s="32">
        <f>G75+G76+G77</f>
        <v>30754.8</v>
      </c>
      <c r="H74" s="23"/>
      <c r="I74" s="23">
        <f>I75+I76</f>
        <v>18000</v>
      </c>
      <c r="J74" s="23"/>
      <c r="K74" s="23">
        <f>K75+K76+K77</f>
        <v>48754.8</v>
      </c>
      <c r="L74" s="23">
        <f>L75+L76+L77</f>
        <v>271941.22</v>
      </c>
      <c r="M74" s="120">
        <f t="shared" si="8"/>
        <v>-42254.8</v>
      </c>
      <c r="N74" s="125">
        <f t="shared" si="8"/>
        <v>-54441.21999999997</v>
      </c>
      <c r="O74" s="26">
        <v>0</v>
      </c>
      <c r="P74" s="27">
        <v>0</v>
      </c>
      <c r="Q74" s="173"/>
      <c r="R74" s="173"/>
    </row>
    <row r="75" spans="1:18" ht="27.75" customHeight="1" thickBot="1">
      <c r="A75" s="29" t="s">
        <v>173</v>
      </c>
      <c r="B75" s="340" t="s">
        <v>152</v>
      </c>
      <c r="C75" s="341"/>
      <c r="D75" s="342"/>
      <c r="E75" s="112">
        <v>6500</v>
      </c>
      <c r="F75" s="108">
        <f>211000+E75</f>
        <v>217500</v>
      </c>
      <c r="G75" s="13">
        <v>30754.8</v>
      </c>
      <c r="H75" s="15"/>
      <c r="I75" s="15"/>
      <c r="J75" s="15"/>
      <c r="K75" s="15">
        <f>G75</f>
        <v>30754.8</v>
      </c>
      <c r="L75" s="15">
        <f>223186.42+K75</f>
        <v>253941.22</v>
      </c>
      <c r="M75" s="119">
        <f t="shared" si="8"/>
        <v>-24254.8</v>
      </c>
      <c r="N75" s="124">
        <f t="shared" si="8"/>
        <v>-36441.22</v>
      </c>
      <c r="O75" s="31">
        <v>0</v>
      </c>
      <c r="P75" s="123">
        <v>0</v>
      </c>
      <c r="Q75" s="173"/>
      <c r="R75" s="173"/>
    </row>
    <row r="76" spans="1:18" ht="29.25" customHeight="1" thickBot="1">
      <c r="A76" s="29" t="s">
        <v>174</v>
      </c>
      <c r="B76" s="340" t="s">
        <v>171</v>
      </c>
      <c r="C76" s="341"/>
      <c r="D76" s="342"/>
      <c r="E76" s="113"/>
      <c r="F76" s="108"/>
      <c r="G76" s="13"/>
      <c r="H76" s="15"/>
      <c r="I76" s="15">
        <v>18000</v>
      </c>
      <c r="J76" s="15"/>
      <c r="K76" s="15">
        <f>I76</f>
        <v>18000</v>
      </c>
      <c r="L76" s="15">
        <f aca="true" t="shared" si="9" ref="K76:L82">0+K76</f>
        <v>18000</v>
      </c>
      <c r="M76" s="119">
        <f t="shared" si="8"/>
        <v>-18000</v>
      </c>
      <c r="N76" s="124">
        <f t="shared" si="8"/>
        <v>-18000</v>
      </c>
      <c r="O76" s="31">
        <v>0</v>
      </c>
      <c r="P76" s="123">
        <v>0</v>
      </c>
      <c r="Q76" s="173"/>
      <c r="R76" s="173"/>
    </row>
    <row r="77" spans="1:18" ht="22.5" customHeight="1" thickBot="1">
      <c r="A77" s="29" t="s">
        <v>175</v>
      </c>
      <c r="B77" s="96" t="s">
        <v>154</v>
      </c>
      <c r="C77" s="97"/>
      <c r="D77" s="98"/>
      <c r="E77" s="112"/>
      <c r="F77" s="108"/>
      <c r="G77" s="13"/>
      <c r="H77" s="15"/>
      <c r="I77" s="15"/>
      <c r="J77" s="15"/>
      <c r="K77" s="15">
        <f t="shared" si="9"/>
        <v>0</v>
      </c>
      <c r="L77" s="15">
        <f t="shared" si="9"/>
        <v>0</v>
      </c>
      <c r="M77" s="119">
        <f t="shared" si="8"/>
        <v>0</v>
      </c>
      <c r="N77" s="124">
        <f t="shared" si="8"/>
        <v>0</v>
      </c>
      <c r="O77" s="31">
        <v>0</v>
      </c>
      <c r="P77" s="123">
        <v>0</v>
      </c>
      <c r="Q77" s="173"/>
      <c r="R77" s="173"/>
    </row>
    <row r="78" spans="1:18" ht="33" customHeight="1" thickBot="1">
      <c r="A78" s="128" t="s">
        <v>73</v>
      </c>
      <c r="B78" s="395" t="s">
        <v>74</v>
      </c>
      <c r="C78" s="396"/>
      <c r="D78" s="397"/>
      <c r="E78" s="81">
        <f>E79</f>
        <v>1500</v>
      </c>
      <c r="F78" s="114">
        <f>F79</f>
        <v>3000</v>
      </c>
      <c r="G78" s="32">
        <f>G79</f>
        <v>1773</v>
      </c>
      <c r="H78" s="23"/>
      <c r="I78" s="23"/>
      <c r="J78" s="23"/>
      <c r="K78" s="23">
        <f>0+G78</f>
        <v>1773</v>
      </c>
      <c r="L78" s="23">
        <f t="shared" si="9"/>
        <v>1773</v>
      </c>
      <c r="M78" s="120">
        <f t="shared" si="8"/>
        <v>-273</v>
      </c>
      <c r="N78" s="125">
        <f t="shared" si="8"/>
        <v>1227</v>
      </c>
      <c r="O78" s="26">
        <v>0</v>
      </c>
      <c r="P78" s="27">
        <v>0</v>
      </c>
      <c r="Q78" s="173"/>
      <c r="R78" s="173"/>
    </row>
    <row r="79" spans="1:18" ht="31.5" customHeight="1" thickBot="1">
      <c r="A79" s="29" t="s">
        <v>176</v>
      </c>
      <c r="B79" s="340" t="s">
        <v>152</v>
      </c>
      <c r="C79" s="341"/>
      <c r="D79" s="342"/>
      <c r="E79" s="113">
        <v>1500</v>
      </c>
      <c r="F79" s="108">
        <f>1500+E79</f>
        <v>3000</v>
      </c>
      <c r="G79" s="13">
        <v>1773</v>
      </c>
      <c r="H79" s="15"/>
      <c r="I79" s="15"/>
      <c r="J79" s="15"/>
      <c r="K79" s="15">
        <f>0+G79</f>
        <v>1773</v>
      </c>
      <c r="L79" s="15">
        <f t="shared" si="9"/>
        <v>1773</v>
      </c>
      <c r="M79" s="119">
        <f t="shared" si="8"/>
        <v>-273</v>
      </c>
      <c r="N79" s="124">
        <f t="shared" si="8"/>
        <v>1227</v>
      </c>
      <c r="O79" s="31">
        <v>0</v>
      </c>
      <c r="P79" s="123">
        <v>0</v>
      </c>
      <c r="Q79" s="173"/>
      <c r="R79" s="173"/>
    </row>
    <row r="80" spans="1:18" ht="21" customHeight="1" thickBot="1">
      <c r="A80" s="128" t="s">
        <v>75</v>
      </c>
      <c r="B80" s="395" t="s">
        <v>76</v>
      </c>
      <c r="C80" s="396"/>
      <c r="D80" s="397"/>
      <c r="E80" s="81">
        <f>E81</f>
        <v>0</v>
      </c>
      <c r="F80" s="114">
        <f>F81</f>
        <v>18500</v>
      </c>
      <c r="G80" s="32"/>
      <c r="H80" s="23"/>
      <c r="I80" s="23"/>
      <c r="J80" s="23"/>
      <c r="K80" s="23">
        <f t="shared" si="9"/>
        <v>0</v>
      </c>
      <c r="L80" s="23">
        <f>0+K80</f>
        <v>0</v>
      </c>
      <c r="M80" s="120">
        <f t="shared" si="8"/>
        <v>0</v>
      </c>
      <c r="N80" s="125">
        <f t="shared" si="8"/>
        <v>18500</v>
      </c>
      <c r="O80" s="26">
        <v>0</v>
      </c>
      <c r="P80" s="27">
        <v>0</v>
      </c>
      <c r="Q80" s="173"/>
      <c r="R80" s="173"/>
    </row>
    <row r="81" spans="1:18" ht="33" customHeight="1" thickBot="1">
      <c r="A81" s="29" t="s">
        <v>177</v>
      </c>
      <c r="B81" s="340" t="s">
        <v>152</v>
      </c>
      <c r="C81" s="341"/>
      <c r="D81" s="342"/>
      <c r="E81" s="113">
        <v>0</v>
      </c>
      <c r="F81" s="108">
        <f>18500+E81</f>
        <v>18500</v>
      </c>
      <c r="G81" s="198"/>
      <c r="H81" s="199"/>
      <c r="I81" s="93"/>
      <c r="J81" s="199"/>
      <c r="K81" s="15">
        <f t="shared" si="9"/>
        <v>0</v>
      </c>
      <c r="L81" s="15">
        <f>0+K81</f>
        <v>0</v>
      </c>
      <c r="M81" s="119">
        <f t="shared" si="8"/>
        <v>0</v>
      </c>
      <c r="N81" s="124">
        <f t="shared" si="8"/>
        <v>18500</v>
      </c>
      <c r="O81" s="31">
        <v>0</v>
      </c>
      <c r="P81" s="123">
        <v>0</v>
      </c>
      <c r="Q81" s="173"/>
      <c r="R81" s="173"/>
    </row>
    <row r="82" spans="1:18" ht="21" customHeight="1" thickBot="1">
      <c r="A82" s="29" t="s">
        <v>178</v>
      </c>
      <c r="B82" s="96" t="s">
        <v>154</v>
      </c>
      <c r="C82" s="97"/>
      <c r="D82" s="98"/>
      <c r="E82" s="113"/>
      <c r="F82" s="15"/>
      <c r="G82" s="13"/>
      <c r="H82" s="200"/>
      <c r="I82" s="15"/>
      <c r="J82" s="200"/>
      <c r="K82" s="15">
        <f t="shared" si="9"/>
        <v>0</v>
      </c>
      <c r="L82" s="15">
        <f t="shared" si="9"/>
        <v>0</v>
      </c>
      <c r="M82" s="119">
        <f t="shared" si="8"/>
        <v>0</v>
      </c>
      <c r="N82" s="124">
        <f t="shared" si="8"/>
        <v>0</v>
      </c>
      <c r="O82" s="31">
        <v>0</v>
      </c>
      <c r="P82" s="123">
        <v>0</v>
      </c>
      <c r="Q82" s="173"/>
      <c r="R82" s="173"/>
    </row>
    <row r="83" spans="1:18" ht="15">
      <c r="A83" s="398"/>
      <c r="B83" s="591" t="s">
        <v>30</v>
      </c>
      <c r="C83" s="592"/>
      <c r="D83" s="592"/>
      <c r="E83" s="592"/>
      <c r="F83" s="592"/>
      <c r="G83" s="592"/>
      <c r="H83" s="592"/>
      <c r="I83" s="592"/>
      <c r="J83" s="592"/>
      <c r="K83" s="592"/>
      <c r="L83" s="592"/>
      <c r="M83" s="592"/>
      <c r="N83" s="592"/>
      <c r="O83" s="592"/>
      <c r="P83" s="593"/>
      <c r="Q83" s="173"/>
      <c r="R83" s="173"/>
    </row>
    <row r="84" spans="1:18" ht="4.5" customHeight="1" thickBot="1">
      <c r="A84" s="399"/>
      <c r="B84" s="594"/>
      <c r="C84" s="595"/>
      <c r="D84" s="595"/>
      <c r="E84" s="595"/>
      <c r="F84" s="595"/>
      <c r="G84" s="595"/>
      <c r="H84" s="595"/>
      <c r="I84" s="595"/>
      <c r="J84" s="595"/>
      <c r="K84" s="595"/>
      <c r="L84" s="595"/>
      <c r="M84" s="595"/>
      <c r="N84" s="595"/>
      <c r="O84" s="595"/>
      <c r="P84" s="596"/>
      <c r="Q84" s="173"/>
      <c r="R84" s="173"/>
    </row>
    <row r="85" spans="1:18" ht="15.75" thickBot="1">
      <c r="A85" s="398"/>
      <c r="B85" s="550" t="s">
        <v>14</v>
      </c>
      <c r="C85" s="551"/>
      <c r="D85" s="552"/>
      <c r="E85" s="581" t="s">
        <v>24</v>
      </c>
      <c r="F85" s="583" t="s">
        <v>25</v>
      </c>
      <c r="G85" s="532" t="s">
        <v>31</v>
      </c>
      <c r="H85" s="522"/>
      <c r="I85" s="522"/>
      <c r="J85" s="522"/>
      <c r="K85" s="533"/>
      <c r="L85" s="534" t="s">
        <v>16</v>
      </c>
      <c r="M85" s="534" t="s">
        <v>17</v>
      </c>
      <c r="N85" s="534" t="s">
        <v>18</v>
      </c>
      <c r="O85" s="534" t="s">
        <v>19</v>
      </c>
      <c r="P85" s="534" t="s">
        <v>20</v>
      </c>
      <c r="Q85" s="173"/>
      <c r="R85" s="173"/>
    </row>
    <row r="86" spans="1:18" ht="75" customHeight="1" thickBot="1">
      <c r="A86" s="399"/>
      <c r="B86" s="553"/>
      <c r="C86" s="554"/>
      <c r="D86" s="555"/>
      <c r="E86" s="582"/>
      <c r="F86" s="584"/>
      <c r="G86" s="292" t="s">
        <v>32</v>
      </c>
      <c r="H86" s="292" t="s">
        <v>33</v>
      </c>
      <c r="I86" s="292" t="s">
        <v>34</v>
      </c>
      <c r="J86" s="175" t="s">
        <v>77</v>
      </c>
      <c r="K86" s="176" t="s">
        <v>27</v>
      </c>
      <c r="L86" s="535"/>
      <c r="M86" s="535"/>
      <c r="N86" s="535"/>
      <c r="O86" s="535"/>
      <c r="P86" s="535"/>
      <c r="Q86" s="173"/>
      <c r="R86" s="173"/>
    </row>
    <row r="87" spans="1:18" ht="15.75" thickBot="1">
      <c r="A87" s="29"/>
      <c r="B87" s="536">
        <v>1</v>
      </c>
      <c r="C87" s="537"/>
      <c r="D87" s="538"/>
      <c r="E87" s="180" t="s">
        <v>22</v>
      </c>
      <c r="F87" s="292">
        <v>3</v>
      </c>
      <c r="G87" s="292">
        <v>4</v>
      </c>
      <c r="H87" s="292">
        <v>5</v>
      </c>
      <c r="I87" s="175">
        <v>6</v>
      </c>
      <c r="J87" s="175">
        <v>7</v>
      </c>
      <c r="K87" s="192">
        <v>8</v>
      </c>
      <c r="L87" s="290">
        <v>9</v>
      </c>
      <c r="M87" s="175">
        <v>10</v>
      </c>
      <c r="N87" s="290">
        <v>11</v>
      </c>
      <c r="O87" s="175">
        <v>12</v>
      </c>
      <c r="P87" s="290">
        <v>13</v>
      </c>
      <c r="Q87" s="173"/>
      <c r="R87" s="173"/>
    </row>
    <row r="88" spans="1:18" ht="36" customHeight="1" thickBot="1">
      <c r="A88" s="22" t="s">
        <v>78</v>
      </c>
      <c r="B88" s="395" t="s">
        <v>79</v>
      </c>
      <c r="C88" s="396"/>
      <c r="D88" s="397"/>
      <c r="E88" s="81">
        <f>E89</f>
        <v>27555</v>
      </c>
      <c r="F88" s="114">
        <f>189885+E88</f>
        <v>217440</v>
      </c>
      <c r="G88" s="81">
        <f>G89+G90+G91+G92</f>
        <v>23937.73</v>
      </c>
      <c r="H88" s="23"/>
      <c r="I88" s="23">
        <f>I89+I90+I91</f>
        <v>0</v>
      </c>
      <c r="J88" s="23"/>
      <c r="K88" s="83">
        <f>K89+K90+K91+K92</f>
        <v>23937.73</v>
      </c>
      <c r="L88" s="23">
        <f>258740.27+K88</f>
        <v>282678</v>
      </c>
      <c r="M88" s="120">
        <f aca="true" t="shared" si="10" ref="M88:N103">E88-K88</f>
        <v>3617.2700000000004</v>
      </c>
      <c r="N88" s="125">
        <f t="shared" si="10"/>
        <v>-65238</v>
      </c>
      <c r="O88" s="26">
        <v>0</v>
      </c>
      <c r="P88" s="27">
        <v>0</v>
      </c>
      <c r="Q88" s="18"/>
      <c r="R88" s="173"/>
    </row>
    <row r="89" spans="1:18" ht="29.25" customHeight="1" thickBot="1">
      <c r="A89" s="29" t="s">
        <v>179</v>
      </c>
      <c r="B89" s="340" t="s">
        <v>152</v>
      </c>
      <c r="C89" s="341"/>
      <c r="D89" s="342"/>
      <c r="E89" s="112">
        <f>E93+E94+E96+E97+E98+E100+E99+E95</f>
        <v>27555</v>
      </c>
      <c r="F89" s="108">
        <f>189885+E89</f>
        <v>217440</v>
      </c>
      <c r="G89" s="82">
        <f>G93+G94+G96+G97+G98+G99+G100</f>
        <v>23937.73</v>
      </c>
      <c r="H89" s="15"/>
      <c r="I89" s="15"/>
      <c r="J89" s="15"/>
      <c r="K89" s="84">
        <f>G89</f>
        <v>23937.73</v>
      </c>
      <c r="L89" s="15">
        <f>L93+L94+L96+L97+L98+L99+L100+L95</f>
        <v>282678</v>
      </c>
      <c r="M89" s="119">
        <f t="shared" si="10"/>
        <v>3617.2700000000004</v>
      </c>
      <c r="N89" s="124">
        <f t="shared" si="10"/>
        <v>-65238</v>
      </c>
      <c r="O89" s="31">
        <v>0</v>
      </c>
      <c r="P89" s="123">
        <v>0</v>
      </c>
      <c r="Q89" s="18"/>
      <c r="R89" s="173"/>
    </row>
    <row r="90" spans="1:18" ht="19.5" customHeight="1" thickBot="1">
      <c r="A90" s="29" t="s">
        <v>180</v>
      </c>
      <c r="B90" s="390" t="s">
        <v>151</v>
      </c>
      <c r="C90" s="391"/>
      <c r="D90" s="392"/>
      <c r="E90" s="112"/>
      <c r="F90" s="108"/>
      <c r="G90" s="82"/>
      <c r="H90" s="15"/>
      <c r="I90" s="15"/>
      <c r="J90" s="15"/>
      <c r="K90" s="84">
        <f aca="true" t="shared" si="11" ref="K90:K99">G90</f>
        <v>0</v>
      </c>
      <c r="L90" s="15">
        <f aca="true" t="shared" si="12" ref="L90:L120">0+K90</f>
        <v>0</v>
      </c>
      <c r="M90" s="119">
        <f t="shared" si="10"/>
        <v>0</v>
      </c>
      <c r="N90" s="124">
        <f t="shared" si="10"/>
        <v>0</v>
      </c>
      <c r="O90" s="31">
        <v>0</v>
      </c>
      <c r="P90" s="123">
        <v>0</v>
      </c>
      <c r="Q90" s="18"/>
      <c r="R90" s="173"/>
    </row>
    <row r="91" spans="1:18" ht="29.25" customHeight="1" thickBot="1">
      <c r="A91" s="29" t="s">
        <v>181</v>
      </c>
      <c r="B91" s="340" t="s">
        <v>171</v>
      </c>
      <c r="C91" s="341"/>
      <c r="D91" s="342"/>
      <c r="E91" s="112"/>
      <c r="F91" s="108"/>
      <c r="G91" s="82"/>
      <c r="H91" s="15"/>
      <c r="I91" s="15">
        <f>I97</f>
        <v>0</v>
      </c>
      <c r="J91" s="15"/>
      <c r="K91" s="84">
        <f>I91</f>
        <v>0</v>
      </c>
      <c r="L91" s="15">
        <f t="shared" si="12"/>
        <v>0</v>
      </c>
      <c r="M91" s="119">
        <f t="shared" si="10"/>
        <v>0</v>
      </c>
      <c r="N91" s="124">
        <f t="shared" si="10"/>
        <v>0</v>
      </c>
      <c r="O91" s="31">
        <v>0</v>
      </c>
      <c r="P91" s="123">
        <v>0</v>
      </c>
      <c r="Q91" s="18"/>
      <c r="R91" s="173"/>
    </row>
    <row r="92" spans="1:18" ht="19.5" customHeight="1" thickBot="1">
      <c r="A92" s="29" t="s">
        <v>182</v>
      </c>
      <c r="B92" s="340" t="s">
        <v>154</v>
      </c>
      <c r="C92" s="341"/>
      <c r="D92" s="342"/>
      <c r="E92" s="112"/>
      <c r="F92" s="108"/>
      <c r="G92" s="82"/>
      <c r="H92" s="15"/>
      <c r="I92" s="15"/>
      <c r="J92" s="15"/>
      <c r="K92" s="84">
        <f t="shared" si="11"/>
        <v>0</v>
      </c>
      <c r="L92" s="15">
        <f t="shared" si="12"/>
        <v>0</v>
      </c>
      <c r="M92" s="119">
        <f t="shared" si="10"/>
        <v>0</v>
      </c>
      <c r="N92" s="124">
        <f t="shared" si="10"/>
        <v>0</v>
      </c>
      <c r="O92" s="31">
        <v>0</v>
      </c>
      <c r="P92" s="123">
        <v>0</v>
      </c>
      <c r="Q92" s="18"/>
      <c r="R92" s="196">
        <f>L93+L94+L95+L96+L97+L98+L99+L100</f>
        <v>282678</v>
      </c>
    </row>
    <row r="93" spans="1:18" ht="20.25" customHeight="1" thickBot="1">
      <c r="A93" s="29" t="s">
        <v>80</v>
      </c>
      <c r="B93" s="359" t="s">
        <v>81</v>
      </c>
      <c r="C93" s="360"/>
      <c r="D93" s="361"/>
      <c r="E93" s="108">
        <v>3000</v>
      </c>
      <c r="F93" s="108">
        <f>24000+E93</f>
        <v>27000</v>
      </c>
      <c r="G93" s="82">
        <v>3000</v>
      </c>
      <c r="H93" s="13"/>
      <c r="I93" s="13"/>
      <c r="J93" s="13"/>
      <c r="K93" s="84">
        <f t="shared" si="11"/>
        <v>3000</v>
      </c>
      <c r="L93" s="15">
        <f>24000+K93</f>
        <v>27000</v>
      </c>
      <c r="M93" s="119">
        <f t="shared" si="10"/>
        <v>0</v>
      </c>
      <c r="N93" s="124">
        <f t="shared" si="10"/>
        <v>0</v>
      </c>
      <c r="O93" s="31">
        <v>0</v>
      </c>
      <c r="P93" s="123">
        <v>0</v>
      </c>
      <c r="Q93" s="173"/>
      <c r="R93" s="18">
        <f>L89+L90+L91+L92</f>
        <v>282678</v>
      </c>
    </row>
    <row r="94" spans="1:18" ht="19.5" customHeight="1" thickBot="1">
      <c r="A94" s="29" t="s">
        <v>82</v>
      </c>
      <c r="B94" s="387" t="s">
        <v>209</v>
      </c>
      <c r="C94" s="388"/>
      <c r="D94" s="389"/>
      <c r="E94" s="108">
        <v>4400</v>
      </c>
      <c r="F94" s="108">
        <f>35200+E94</f>
        <v>39600</v>
      </c>
      <c r="G94" s="82"/>
      <c r="H94" s="13"/>
      <c r="I94" s="13"/>
      <c r="J94" s="13"/>
      <c r="K94" s="84">
        <f>G94</f>
        <v>0</v>
      </c>
      <c r="L94" s="15">
        <f>26400+K94</f>
        <v>26400</v>
      </c>
      <c r="M94" s="119">
        <f t="shared" si="10"/>
        <v>4400</v>
      </c>
      <c r="N94" s="124">
        <f t="shared" si="10"/>
        <v>13200</v>
      </c>
      <c r="O94" s="31">
        <v>0</v>
      </c>
      <c r="P94" s="123">
        <v>0</v>
      </c>
      <c r="Q94" s="173"/>
      <c r="R94" s="173"/>
    </row>
    <row r="95" spans="1:18" ht="27.75" customHeight="1" thickBot="1">
      <c r="A95" s="29" t="s">
        <v>83</v>
      </c>
      <c r="B95" s="359" t="s">
        <v>231</v>
      </c>
      <c r="C95" s="360"/>
      <c r="D95" s="361"/>
      <c r="E95" s="108"/>
      <c r="F95" s="108">
        <f>0+E95</f>
        <v>0</v>
      </c>
      <c r="G95" s="82"/>
      <c r="H95" s="13"/>
      <c r="I95" s="13"/>
      <c r="J95" s="13"/>
      <c r="K95" s="84">
        <f t="shared" si="11"/>
        <v>0</v>
      </c>
      <c r="L95" s="15">
        <f>77795+K95</f>
        <v>77795</v>
      </c>
      <c r="M95" s="119">
        <f t="shared" si="10"/>
        <v>0</v>
      </c>
      <c r="N95" s="124">
        <f t="shared" si="10"/>
        <v>-77795</v>
      </c>
      <c r="O95" s="31">
        <v>0</v>
      </c>
      <c r="P95" s="123">
        <v>0</v>
      </c>
      <c r="Q95" s="173"/>
      <c r="R95" s="173"/>
    </row>
    <row r="96" spans="1:18" ht="25.5" customHeight="1" thickBot="1">
      <c r="A96" s="29" t="s">
        <v>85</v>
      </c>
      <c r="B96" s="359" t="s">
        <v>86</v>
      </c>
      <c r="C96" s="360"/>
      <c r="D96" s="361"/>
      <c r="E96" s="108">
        <v>1355</v>
      </c>
      <c r="F96" s="108">
        <f>10840+E96</f>
        <v>12195</v>
      </c>
      <c r="G96" s="82">
        <v>2200</v>
      </c>
      <c r="H96" s="13"/>
      <c r="I96" s="13"/>
      <c r="J96" s="13"/>
      <c r="K96" s="84">
        <f t="shared" si="11"/>
        <v>2200</v>
      </c>
      <c r="L96" s="15">
        <f>7955+K96</f>
        <v>10155</v>
      </c>
      <c r="M96" s="119">
        <f t="shared" si="10"/>
        <v>-845</v>
      </c>
      <c r="N96" s="124">
        <f t="shared" si="10"/>
        <v>2040</v>
      </c>
      <c r="O96" s="31">
        <v>0</v>
      </c>
      <c r="P96" s="123">
        <v>0</v>
      </c>
      <c r="Q96" s="173"/>
      <c r="R96" s="173"/>
    </row>
    <row r="97" spans="1:18" ht="22.5" customHeight="1" thickBot="1">
      <c r="A97" s="29" t="s">
        <v>87</v>
      </c>
      <c r="B97" s="359" t="s">
        <v>88</v>
      </c>
      <c r="C97" s="360"/>
      <c r="D97" s="361"/>
      <c r="E97" s="108">
        <v>7500</v>
      </c>
      <c r="F97" s="108">
        <f>54000+E97</f>
        <v>61500</v>
      </c>
      <c r="G97" s="82">
        <v>5094.93</v>
      </c>
      <c r="H97" s="13"/>
      <c r="I97" s="13"/>
      <c r="J97" s="13"/>
      <c r="K97" s="84">
        <f>G97+I97</f>
        <v>5094.93</v>
      </c>
      <c r="L97" s="15">
        <f>43614.75+K97</f>
        <v>48709.68</v>
      </c>
      <c r="M97" s="119">
        <f t="shared" si="10"/>
        <v>2405.0699999999997</v>
      </c>
      <c r="N97" s="124">
        <f t="shared" si="10"/>
        <v>12790.32</v>
      </c>
      <c r="O97" s="31">
        <v>0</v>
      </c>
      <c r="P97" s="123">
        <v>0</v>
      </c>
      <c r="Q97" s="173"/>
      <c r="R97" s="248">
        <f>F93+F94+F95+F96+F97+F98+F99+F100</f>
        <v>241995</v>
      </c>
    </row>
    <row r="98" spans="1:16" ht="21" customHeight="1" thickBot="1">
      <c r="A98" s="29" t="s">
        <v>89</v>
      </c>
      <c r="B98" s="359" t="s">
        <v>90</v>
      </c>
      <c r="C98" s="360"/>
      <c r="D98" s="361"/>
      <c r="E98" s="108">
        <v>1500</v>
      </c>
      <c r="F98" s="108">
        <f>12000+E98</f>
        <v>13500</v>
      </c>
      <c r="G98" s="82">
        <v>4272</v>
      </c>
      <c r="H98" s="13"/>
      <c r="I98" s="13"/>
      <c r="J98" s="13"/>
      <c r="K98" s="84">
        <f t="shared" si="11"/>
        <v>4272</v>
      </c>
      <c r="L98" s="15">
        <f>19404+K98</f>
        <v>23676</v>
      </c>
      <c r="M98" s="119">
        <f t="shared" si="10"/>
        <v>-2772</v>
      </c>
      <c r="N98" s="124">
        <f t="shared" si="10"/>
        <v>-10176</v>
      </c>
      <c r="O98" s="31">
        <v>0</v>
      </c>
      <c r="P98" s="123">
        <v>0</v>
      </c>
    </row>
    <row r="99" spans="1:16" ht="33.75" customHeight="1" thickBot="1">
      <c r="A99" s="29" t="s">
        <v>91</v>
      </c>
      <c r="B99" s="359" t="s">
        <v>92</v>
      </c>
      <c r="C99" s="360"/>
      <c r="D99" s="361"/>
      <c r="E99" s="108">
        <v>0</v>
      </c>
      <c r="F99" s="108">
        <f>0+E99</f>
        <v>0</v>
      </c>
      <c r="G99" s="82"/>
      <c r="H99" s="13"/>
      <c r="I99" s="13"/>
      <c r="J99" s="13"/>
      <c r="K99" s="84">
        <f t="shared" si="11"/>
        <v>0</v>
      </c>
      <c r="L99" s="15">
        <f t="shared" si="12"/>
        <v>0</v>
      </c>
      <c r="M99" s="119">
        <f t="shared" si="10"/>
        <v>0</v>
      </c>
      <c r="N99" s="124">
        <f t="shared" si="10"/>
        <v>0</v>
      </c>
      <c r="O99" s="31">
        <v>0</v>
      </c>
      <c r="P99" s="123">
        <v>0</v>
      </c>
    </row>
    <row r="100" spans="1:16" ht="24" customHeight="1" thickBot="1">
      <c r="A100" s="29" t="s">
        <v>93</v>
      </c>
      <c r="B100" s="359" t="s">
        <v>94</v>
      </c>
      <c r="C100" s="360"/>
      <c r="D100" s="361"/>
      <c r="E100" s="108">
        <v>9800</v>
      </c>
      <c r="F100" s="108">
        <f>78400+E100</f>
        <v>88200</v>
      </c>
      <c r="G100" s="82">
        <v>9370.8</v>
      </c>
      <c r="H100" s="13"/>
      <c r="I100" s="13"/>
      <c r="J100" s="13"/>
      <c r="K100" s="84">
        <f>G100</f>
        <v>9370.8</v>
      </c>
      <c r="L100" s="15">
        <f>59571.52+K100</f>
        <v>68942.31999999999</v>
      </c>
      <c r="M100" s="119">
        <f t="shared" si="10"/>
        <v>429.2000000000007</v>
      </c>
      <c r="N100" s="124">
        <f t="shared" si="10"/>
        <v>19257.680000000008</v>
      </c>
      <c r="O100" s="31">
        <v>0</v>
      </c>
      <c r="P100" s="123">
        <v>0</v>
      </c>
    </row>
    <row r="101" spans="1:18" ht="32.25" customHeight="1" thickBot="1">
      <c r="A101" s="56" t="s">
        <v>95</v>
      </c>
      <c r="B101" s="425" t="s">
        <v>96</v>
      </c>
      <c r="C101" s="323"/>
      <c r="D101" s="324"/>
      <c r="E101" s="114">
        <f>E102+E103</f>
        <v>14251</v>
      </c>
      <c r="F101" s="114">
        <f>609953+E101</f>
        <v>624204</v>
      </c>
      <c r="G101" s="114">
        <f>G102+G104+G105</f>
        <v>15510.75</v>
      </c>
      <c r="H101" s="32">
        <f>H103</f>
        <v>0</v>
      </c>
      <c r="I101" s="23">
        <f>I104</f>
        <v>0</v>
      </c>
      <c r="J101" s="23"/>
      <c r="K101" s="114">
        <f>G101+H101+I101+J101</f>
        <v>15510.75</v>
      </c>
      <c r="L101" s="23">
        <f>L102+L103+L104+L105</f>
        <v>609040.86</v>
      </c>
      <c r="M101" s="120">
        <f t="shared" si="10"/>
        <v>-1259.75</v>
      </c>
      <c r="N101" s="125">
        <f t="shared" si="10"/>
        <v>15163.140000000014</v>
      </c>
      <c r="O101" s="26">
        <v>0</v>
      </c>
      <c r="P101" s="27">
        <v>0</v>
      </c>
      <c r="R101" s="197">
        <f>L102+L104-L101</f>
        <v>-153006</v>
      </c>
    </row>
    <row r="102" spans="1:18" ht="32.25" customHeight="1" thickBot="1">
      <c r="A102" s="29" t="s">
        <v>183</v>
      </c>
      <c r="B102" s="340" t="s">
        <v>152</v>
      </c>
      <c r="C102" s="341"/>
      <c r="D102" s="342"/>
      <c r="E102" s="112">
        <f>E106+E107+E114+E119+E131+E113+E128+E115+E120</f>
        <v>1500</v>
      </c>
      <c r="F102" s="108">
        <f>520700+E102</f>
        <v>522200</v>
      </c>
      <c r="G102" s="13">
        <f>G106+G107+G108+G109+G110+G111+G112+G113+G114+G115+G116+G117+G118+G119+G126+G127+G128+G129+G130+G131</f>
        <v>15510.75</v>
      </c>
      <c r="H102" s="13"/>
      <c r="I102" s="15"/>
      <c r="J102" s="15"/>
      <c r="K102" s="84">
        <f>G102</f>
        <v>15510.75</v>
      </c>
      <c r="L102" s="15">
        <f>327474.11+K102</f>
        <v>342984.86</v>
      </c>
      <c r="M102" s="119">
        <f t="shared" si="10"/>
        <v>-14010.75</v>
      </c>
      <c r="N102" s="124">
        <f t="shared" si="10"/>
        <v>179215.14</v>
      </c>
      <c r="O102" s="31">
        <v>0</v>
      </c>
      <c r="P102" s="123">
        <v>0</v>
      </c>
      <c r="R102" s="197"/>
    </row>
    <row r="103" spans="1:18" ht="24.75" customHeight="1" thickBot="1">
      <c r="A103" s="29" t="s">
        <v>184</v>
      </c>
      <c r="B103" s="390" t="s">
        <v>151</v>
      </c>
      <c r="C103" s="391"/>
      <c r="D103" s="392"/>
      <c r="E103" s="112">
        <f>E129</f>
        <v>12751</v>
      </c>
      <c r="F103" s="108">
        <f>89253+E103</f>
        <v>102004</v>
      </c>
      <c r="G103" s="13"/>
      <c r="H103" s="13">
        <f>H129</f>
        <v>0</v>
      </c>
      <c r="I103" s="15"/>
      <c r="J103" s="15"/>
      <c r="K103" s="84">
        <f>H103</f>
        <v>0</v>
      </c>
      <c r="L103" s="15">
        <f>153006+K103</f>
        <v>153006</v>
      </c>
      <c r="M103" s="119">
        <f t="shared" si="10"/>
        <v>12751</v>
      </c>
      <c r="N103" s="124">
        <f t="shared" si="10"/>
        <v>-51002</v>
      </c>
      <c r="O103" s="31">
        <v>0</v>
      </c>
      <c r="P103" s="123">
        <v>0</v>
      </c>
      <c r="R103" s="201"/>
    </row>
    <row r="104" spans="1:16" ht="32.25" customHeight="1" thickBot="1">
      <c r="A104" s="29" t="s">
        <v>185</v>
      </c>
      <c r="B104" s="340" t="s">
        <v>171</v>
      </c>
      <c r="C104" s="341"/>
      <c r="D104" s="342"/>
      <c r="E104" s="112"/>
      <c r="F104" s="108"/>
      <c r="G104" s="108"/>
      <c r="H104" s="13"/>
      <c r="I104" s="15">
        <f>I128</f>
        <v>0</v>
      </c>
      <c r="J104" s="15"/>
      <c r="K104" s="84">
        <f>I104</f>
        <v>0</v>
      </c>
      <c r="L104" s="15">
        <f>113050+K104</f>
        <v>113050</v>
      </c>
      <c r="M104" s="119">
        <f aca="true" t="shared" si="13" ref="M104:N120">E104-K104</f>
        <v>0</v>
      </c>
      <c r="N104" s="124">
        <f t="shared" si="13"/>
        <v>-113050</v>
      </c>
      <c r="O104" s="31">
        <v>0</v>
      </c>
      <c r="P104" s="123">
        <v>0</v>
      </c>
    </row>
    <row r="105" spans="1:18" ht="22.5" customHeight="1" thickBot="1">
      <c r="A105" s="29" t="s">
        <v>186</v>
      </c>
      <c r="B105" s="390" t="s">
        <v>154</v>
      </c>
      <c r="C105" s="391"/>
      <c r="D105" s="392"/>
      <c r="E105" s="112"/>
      <c r="F105" s="108"/>
      <c r="G105" s="13"/>
      <c r="H105" s="13"/>
      <c r="I105" s="15"/>
      <c r="J105" s="15"/>
      <c r="K105" s="84">
        <f>G105</f>
        <v>0</v>
      </c>
      <c r="L105" s="15">
        <f t="shared" si="12"/>
        <v>0</v>
      </c>
      <c r="M105" s="119">
        <f t="shared" si="13"/>
        <v>0</v>
      </c>
      <c r="N105" s="124">
        <f t="shared" si="13"/>
        <v>0</v>
      </c>
      <c r="O105" s="31">
        <v>0</v>
      </c>
      <c r="P105" s="123">
        <v>0</v>
      </c>
      <c r="R105" s="197">
        <f>L106+L113+L114+L118+L119+L131</f>
        <v>161339.47</v>
      </c>
    </row>
    <row r="106" spans="1:16" ht="22.5" customHeight="1" thickBot="1">
      <c r="A106" s="29" t="s">
        <v>97</v>
      </c>
      <c r="B106" s="511" t="s">
        <v>98</v>
      </c>
      <c r="C106" s="512"/>
      <c r="D106" s="513"/>
      <c r="E106" s="108"/>
      <c r="F106" s="108">
        <f>32600+E106</f>
        <v>32600</v>
      </c>
      <c r="G106" s="13"/>
      <c r="H106" s="13"/>
      <c r="I106" s="13"/>
      <c r="J106" s="13"/>
      <c r="K106" s="84">
        <f aca="true" t="shared" si="14" ref="K106:K120">G106</f>
        <v>0</v>
      </c>
      <c r="L106" s="15">
        <f>39800+K106</f>
        <v>39800</v>
      </c>
      <c r="M106" s="119">
        <f t="shared" si="13"/>
        <v>0</v>
      </c>
      <c r="N106" s="124">
        <f t="shared" si="13"/>
        <v>-7200</v>
      </c>
      <c r="O106" s="31">
        <v>0</v>
      </c>
      <c r="P106" s="123">
        <v>0</v>
      </c>
    </row>
    <row r="107" spans="1:16" ht="21.75" customHeight="1" thickBot="1">
      <c r="A107" s="29" t="s">
        <v>99</v>
      </c>
      <c r="B107" s="359" t="s">
        <v>100</v>
      </c>
      <c r="C107" s="360"/>
      <c r="D107" s="361"/>
      <c r="E107" s="108"/>
      <c r="F107" s="108">
        <f>15000+E107</f>
        <v>15000</v>
      </c>
      <c r="G107" s="13"/>
      <c r="H107" s="13"/>
      <c r="I107" s="13"/>
      <c r="J107" s="13"/>
      <c r="K107" s="84">
        <f t="shared" si="14"/>
        <v>0</v>
      </c>
      <c r="L107" s="15">
        <f t="shared" si="12"/>
        <v>0</v>
      </c>
      <c r="M107" s="119">
        <f t="shared" si="13"/>
        <v>0</v>
      </c>
      <c r="N107" s="124">
        <f t="shared" si="13"/>
        <v>15000</v>
      </c>
      <c r="O107" s="31">
        <v>0</v>
      </c>
      <c r="P107" s="123">
        <v>0</v>
      </c>
    </row>
    <row r="108" spans="1:16" ht="25.5" customHeight="1" thickBot="1">
      <c r="A108" s="29" t="s">
        <v>101</v>
      </c>
      <c r="B108" s="384" t="s">
        <v>102</v>
      </c>
      <c r="C108" s="385"/>
      <c r="D108" s="386"/>
      <c r="E108" s="108"/>
      <c r="F108" s="108"/>
      <c r="G108" s="13"/>
      <c r="H108" s="13"/>
      <c r="I108" s="13"/>
      <c r="J108" s="13"/>
      <c r="K108" s="84">
        <f t="shared" si="14"/>
        <v>0</v>
      </c>
      <c r="L108" s="15">
        <f t="shared" si="12"/>
        <v>0</v>
      </c>
      <c r="M108" s="119">
        <f t="shared" si="13"/>
        <v>0</v>
      </c>
      <c r="N108" s="124">
        <f t="shared" si="13"/>
        <v>0</v>
      </c>
      <c r="O108" s="31">
        <v>0</v>
      </c>
      <c r="P108" s="123">
        <v>0</v>
      </c>
    </row>
    <row r="109" spans="1:16" ht="18.75" customHeight="1" thickBot="1">
      <c r="A109" s="29" t="s">
        <v>103</v>
      </c>
      <c r="B109" s="359" t="s">
        <v>104</v>
      </c>
      <c r="C109" s="360"/>
      <c r="D109" s="361"/>
      <c r="E109" s="108"/>
      <c r="F109" s="108"/>
      <c r="G109" s="13"/>
      <c r="H109" s="13"/>
      <c r="I109" s="13"/>
      <c r="J109" s="13"/>
      <c r="K109" s="84">
        <f t="shared" si="14"/>
        <v>0</v>
      </c>
      <c r="L109" s="15">
        <f t="shared" si="12"/>
        <v>0</v>
      </c>
      <c r="M109" s="119">
        <f t="shared" si="13"/>
        <v>0</v>
      </c>
      <c r="N109" s="124">
        <f t="shared" si="13"/>
        <v>0</v>
      </c>
      <c r="O109" s="31">
        <v>0</v>
      </c>
      <c r="P109" s="123">
        <v>0</v>
      </c>
    </row>
    <row r="110" spans="1:18" ht="21" customHeight="1" thickBot="1">
      <c r="A110" s="29" t="s">
        <v>105</v>
      </c>
      <c r="B110" s="359" t="s">
        <v>106</v>
      </c>
      <c r="C110" s="360"/>
      <c r="D110" s="361"/>
      <c r="E110" s="108"/>
      <c r="F110" s="108"/>
      <c r="G110" s="13"/>
      <c r="H110" s="13"/>
      <c r="I110" s="13"/>
      <c r="J110" s="13"/>
      <c r="K110" s="84">
        <f t="shared" si="14"/>
        <v>0</v>
      </c>
      <c r="L110" s="15">
        <f t="shared" si="12"/>
        <v>0</v>
      </c>
      <c r="M110" s="119">
        <f t="shared" si="13"/>
        <v>0</v>
      </c>
      <c r="N110" s="124">
        <f t="shared" si="13"/>
        <v>0</v>
      </c>
      <c r="O110" s="31">
        <v>0</v>
      </c>
      <c r="P110" s="123">
        <v>0</v>
      </c>
      <c r="R110" s="201"/>
    </row>
    <row r="111" spans="1:16" ht="23.25" customHeight="1" thickBot="1">
      <c r="A111" s="29" t="s">
        <v>107</v>
      </c>
      <c r="B111" s="384" t="s">
        <v>108</v>
      </c>
      <c r="C111" s="385"/>
      <c r="D111" s="386"/>
      <c r="E111" s="108"/>
      <c r="F111" s="108"/>
      <c r="G111" s="13"/>
      <c r="H111" s="13"/>
      <c r="I111" s="13"/>
      <c r="J111" s="13"/>
      <c r="K111" s="84">
        <f t="shared" si="14"/>
        <v>0</v>
      </c>
      <c r="L111" s="15">
        <f t="shared" si="12"/>
        <v>0</v>
      </c>
      <c r="M111" s="119">
        <f t="shared" si="13"/>
        <v>0</v>
      </c>
      <c r="N111" s="124">
        <f t="shared" si="13"/>
        <v>0</v>
      </c>
      <c r="O111" s="31">
        <v>0</v>
      </c>
      <c r="P111" s="123">
        <v>0</v>
      </c>
    </row>
    <row r="112" spans="1:16" ht="29.25" customHeight="1" thickBot="1">
      <c r="A112" s="29" t="s">
        <v>109</v>
      </c>
      <c r="B112" s="359" t="s">
        <v>110</v>
      </c>
      <c r="C112" s="360"/>
      <c r="D112" s="361"/>
      <c r="E112" s="108"/>
      <c r="F112" s="108"/>
      <c r="G112" s="13"/>
      <c r="H112" s="13"/>
      <c r="I112" s="13"/>
      <c r="J112" s="13"/>
      <c r="K112" s="84">
        <f t="shared" si="14"/>
        <v>0</v>
      </c>
      <c r="L112" s="15">
        <f t="shared" si="12"/>
        <v>0</v>
      </c>
      <c r="M112" s="119">
        <f t="shared" si="13"/>
        <v>0</v>
      </c>
      <c r="N112" s="124">
        <f t="shared" si="13"/>
        <v>0</v>
      </c>
      <c r="O112" s="31">
        <v>0</v>
      </c>
      <c r="P112" s="123">
        <v>0</v>
      </c>
    </row>
    <row r="113" spans="1:16" ht="22.5" customHeight="1" thickBot="1">
      <c r="A113" s="29" t="s">
        <v>111</v>
      </c>
      <c r="B113" s="359" t="s">
        <v>112</v>
      </c>
      <c r="C113" s="360"/>
      <c r="D113" s="361"/>
      <c r="E113" s="108"/>
      <c r="F113" s="108">
        <f>40000+E113</f>
        <v>40000</v>
      </c>
      <c r="G113" s="13">
        <v>270</v>
      </c>
      <c r="H113" s="13"/>
      <c r="I113" s="13"/>
      <c r="J113" s="13"/>
      <c r="K113" s="84">
        <f t="shared" si="14"/>
        <v>270</v>
      </c>
      <c r="L113" s="15">
        <f>30430+K113</f>
        <v>30700</v>
      </c>
      <c r="M113" s="119">
        <f t="shared" si="13"/>
        <v>-270</v>
      </c>
      <c r="N113" s="124">
        <f t="shared" si="13"/>
        <v>9300</v>
      </c>
      <c r="O113" s="31">
        <v>0</v>
      </c>
      <c r="P113" s="123">
        <v>0</v>
      </c>
    </row>
    <row r="114" spans="1:16" ht="30" customHeight="1" thickBot="1">
      <c r="A114" s="29" t="s">
        <v>113</v>
      </c>
      <c r="B114" s="359" t="s">
        <v>114</v>
      </c>
      <c r="C114" s="360"/>
      <c r="D114" s="361"/>
      <c r="E114" s="108">
        <v>1500</v>
      </c>
      <c r="F114" s="108">
        <f>12000+E114</f>
        <v>13500</v>
      </c>
      <c r="G114" s="13">
        <v>1290.72</v>
      </c>
      <c r="H114" s="13"/>
      <c r="I114" s="13"/>
      <c r="J114" s="13"/>
      <c r="K114" s="84">
        <f t="shared" si="14"/>
        <v>1290.72</v>
      </c>
      <c r="L114" s="15">
        <f>25880.05+K114</f>
        <v>27170.77</v>
      </c>
      <c r="M114" s="119">
        <f t="shared" si="13"/>
        <v>209.27999999999997</v>
      </c>
      <c r="N114" s="124">
        <f t="shared" si="13"/>
        <v>-13670.77</v>
      </c>
      <c r="O114" s="31">
        <v>0</v>
      </c>
      <c r="P114" s="123">
        <v>0</v>
      </c>
    </row>
    <row r="115" spans="1:16" ht="33" customHeight="1" thickBot="1">
      <c r="A115" s="29" t="s">
        <v>115</v>
      </c>
      <c r="B115" s="359" t="s">
        <v>116</v>
      </c>
      <c r="C115" s="360"/>
      <c r="D115" s="361"/>
      <c r="E115" s="108"/>
      <c r="F115" s="108">
        <f>160000+E115</f>
        <v>160000</v>
      </c>
      <c r="G115" s="13"/>
      <c r="H115" s="13"/>
      <c r="I115" s="13"/>
      <c r="J115" s="13"/>
      <c r="K115" s="84">
        <f t="shared" si="14"/>
        <v>0</v>
      </c>
      <c r="L115" s="15">
        <f t="shared" si="12"/>
        <v>0</v>
      </c>
      <c r="M115" s="119">
        <f t="shared" si="13"/>
        <v>0</v>
      </c>
      <c r="N115" s="124">
        <f t="shared" si="13"/>
        <v>160000</v>
      </c>
      <c r="O115" s="31">
        <v>0</v>
      </c>
      <c r="P115" s="123">
        <v>0</v>
      </c>
    </row>
    <row r="116" spans="1:16" ht="33" customHeight="1" thickBot="1">
      <c r="A116" s="29" t="s">
        <v>117</v>
      </c>
      <c r="B116" s="359" t="s">
        <v>118</v>
      </c>
      <c r="C116" s="360"/>
      <c r="D116" s="361"/>
      <c r="E116" s="108"/>
      <c r="F116" s="108"/>
      <c r="G116" s="13"/>
      <c r="H116" s="13"/>
      <c r="I116" s="13"/>
      <c r="J116" s="13"/>
      <c r="K116" s="84">
        <f t="shared" si="14"/>
        <v>0</v>
      </c>
      <c r="L116" s="15">
        <f t="shared" si="12"/>
        <v>0</v>
      </c>
      <c r="M116" s="119">
        <f t="shared" si="13"/>
        <v>0</v>
      </c>
      <c r="N116" s="124">
        <f t="shared" si="13"/>
        <v>0</v>
      </c>
      <c r="O116" s="31">
        <v>0</v>
      </c>
      <c r="P116" s="123">
        <v>0</v>
      </c>
    </row>
    <row r="117" spans="1:16" ht="30.75" customHeight="1" thickBot="1">
      <c r="A117" s="29"/>
      <c r="B117" s="359" t="s">
        <v>119</v>
      </c>
      <c r="C117" s="360"/>
      <c r="D117" s="361"/>
      <c r="E117" s="108"/>
      <c r="F117" s="108"/>
      <c r="G117" s="13"/>
      <c r="H117" s="13"/>
      <c r="I117" s="13"/>
      <c r="J117" s="13"/>
      <c r="K117" s="84">
        <f t="shared" si="14"/>
        <v>0</v>
      </c>
      <c r="L117" s="15">
        <f t="shared" si="12"/>
        <v>0</v>
      </c>
      <c r="M117" s="119">
        <f t="shared" si="13"/>
        <v>0</v>
      </c>
      <c r="N117" s="124">
        <f t="shared" si="13"/>
        <v>0</v>
      </c>
      <c r="O117" s="31">
        <v>0</v>
      </c>
      <c r="P117" s="123">
        <v>0</v>
      </c>
    </row>
    <row r="118" spans="1:16" ht="23.25" customHeight="1" thickBot="1">
      <c r="A118" s="29" t="s">
        <v>120</v>
      </c>
      <c r="B118" s="359" t="s">
        <v>121</v>
      </c>
      <c r="C118" s="360"/>
      <c r="D118" s="361"/>
      <c r="E118" s="108"/>
      <c r="F118" s="108"/>
      <c r="G118" s="13">
        <v>0.03</v>
      </c>
      <c r="H118" s="13"/>
      <c r="I118" s="13"/>
      <c r="J118" s="13"/>
      <c r="K118" s="84">
        <f t="shared" si="14"/>
        <v>0.03</v>
      </c>
      <c r="L118" s="15">
        <f>2027.62+K118</f>
        <v>2027.6499999999999</v>
      </c>
      <c r="M118" s="119">
        <f t="shared" si="13"/>
        <v>-0.03</v>
      </c>
      <c r="N118" s="124">
        <f t="shared" si="13"/>
        <v>-2027.6499999999999</v>
      </c>
      <c r="O118" s="31">
        <v>0</v>
      </c>
      <c r="P118" s="123">
        <v>0</v>
      </c>
    </row>
    <row r="119" spans="1:18" ht="31.5" customHeight="1" thickBot="1">
      <c r="A119" s="29" t="s">
        <v>211</v>
      </c>
      <c r="B119" s="381" t="s">
        <v>122</v>
      </c>
      <c r="C119" s="382"/>
      <c r="D119" s="383"/>
      <c r="E119" s="108"/>
      <c r="F119" s="108">
        <f>36000+E119</f>
        <v>36000</v>
      </c>
      <c r="G119" s="13"/>
      <c r="H119" s="13"/>
      <c r="I119" s="13"/>
      <c r="J119" s="13"/>
      <c r="K119" s="84">
        <f t="shared" si="14"/>
        <v>0</v>
      </c>
      <c r="L119" s="15">
        <f>51706.38+K119</f>
        <v>51706.38</v>
      </c>
      <c r="M119" s="119">
        <f t="shared" si="13"/>
        <v>0</v>
      </c>
      <c r="N119" s="124">
        <f t="shared" si="13"/>
        <v>-15706.379999999997</v>
      </c>
      <c r="O119" s="31">
        <v>0</v>
      </c>
      <c r="P119" s="123">
        <v>0</v>
      </c>
      <c r="R119" s="201">
        <f>F131+F129+F128+F119+F115+F114+F113+F107+F106</f>
        <v>705103</v>
      </c>
    </row>
    <row r="120" spans="1:16" ht="21.75" customHeight="1" thickBot="1">
      <c r="A120" s="34" t="s">
        <v>123</v>
      </c>
      <c r="B120" s="359" t="s">
        <v>124</v>
      </c>
      <c r="C120" s="360"/>
      <c r="D120" s="361"/>
      <c r="E120" s="108"/>
      <c r="F120" s="108"/>
      <c r="G120" s="13"/>
      <c r="H120" s="13"/>
      <c r="I120" s="13"/>
      <c r="J120" s="13"/>
      <c r="K120" s="84">
        <f t="shared" si="14"/>
        <v>0</v>
      </c>
      <c r="L120" s="15">
        <f t="shared" si="12"/>
        <v>0</v>
      </c>
      <c r="M120" s="119">
        <f t="shared" si="13"/>
        <v>0</v>
      </c>
      <c r="N120" s="124">
        <f t="shared" si="13"/>
        <v>0</v>
      </c>
      <c r="O120" s="31">
        <v>0</v>
      </c>
      <c r="P120" s="123">
        <v>0</v>
      </c>
    </row>
    <row r="121" spans="1:16" ht="15">
      <c r="A121" s="202"/>
      <c r="B121" s="576" t="s">
        <v>30</v>
      </c>
      <c r="C121" s="576"/>
      <c r="D121" s="576"/>
      <c r="E121" s="576"/>
      <c r="F121" s="576"/>
      <c r="G121" s="576"/>
      <c r="H121" s="576"/>
      <c r="I121" s="576"/>
      <c r="J121" s="576"/>
      <c r="K121" s="576"/>
      <c r="L121" s="576"/>
      <c r="M121" s="576"/>
      <c r="N121" s="576"/>
      <c r="O121" s="576"/>
      <c r="P121" s="577"/>
    </row>
    <row r="122" spans="1:16" ht="5.25" customHeight="1" thickBot="1">
      <c r="A122" s="203"/>
      <c r="B122" s="579"/>
      <c r="C122" s="579"/>
      <c r="D122" s="579"/>
      <c r="E122" s="579"/>
      <c r="F122" s="579"/>
      <c r="G122" s="579"/>
      <c r="H122" s="579"/>
      <c r="I122" s="579"/>
      <c r="J122" s="579"/>
      <c r="K122" s="579"/>
      <c r="L122" s="579"/>
      <c r="M122" s="579"/>
      <c r="N122" s="579"/>
      <c r="O122" s="579"/>
      <c r="P122" s="580"/>
    </row>
    <row r="123" spans="1:16" ht="15.75" thickBot="1">
      <c r="A123" s="204"/>
      <c r="B123" s="599" t="s">
        <v>14</v>
      </c>
      <c r="C123" s="600"/>
      <c r="D123" s="601"/>
      <c r="E123" s="605" t="s">
        <v>24</v>
      </c>
      <c r="F123" s="607" t="s">
        <v>25</v>
      </c>
      <c r="G123" s="609" t="s">
        <v>31</v>
      </c>
      <c r="H123" s="610"/>
      <c r="I123" s="610"/>
      <c r="J123" s="610"/>
      <c r="K123" s="611"/>
      <c r="L123" s="597" t="s">
        <v>16</v>
      </c>
      <c r="M123" s="597" t="s">
        <v>17</v>
      </c>
      <c r="N123" s="597" t="s">
        <v>18</v>
      </c>
      <c r="O123" s="597" t="s">
        <v>19</v>
      </c>
      <c r="P123" s="597" t="s">
        <v>20</v>
      </c>
    </row>
    <row r="124" spans="1:16" ht="65.25" customHeight="1" thickBot="1">
      <c r="A124" s="285"/>
      <c r="B124" s="602"/>
      <c r="C124" s="603"/>
      <c r="D124" s="604"/>
      <c r="E124" s="606"/>
      <c r="F124" s="608"/>
      <c r="G124" s="205" t="s">
        <v>32</v>
      </c>
      <c r="H124" s="205" t="s">
        <v>33</v>
      </c>
      <c r="I124" s="205" t="s">
        <v>34</v>
      </c>
      <c r="J124" s="206" t="s">
        <v>220</v>
      </c>
      <c r="K124" s="207" t="s">
        <v>27</v>
      </c>
      <c r="L124" s="598"/>
      <c r="M124" s="598"/>
      <c r="N124" s="598"/>
      <c r="O124" s="598"/>
      <c r="P124" s="598"/>
    </row>
    <row r="125" spans="1:16" ht="15.75" thickBot="1">
      <c r="A125" s="38"/>
      <c r="B125" s="536">
        <v>1</v>
      </c>
      <c r="C125" s="537"/>
      <c r="D125" s="538"/>
      <c r="E125" s="180" t="s">
        <v>22</v>
      </c>
      <c r="F125" s="292">
        <v>3</v>
      </c>
      <c r="G125" s="292">
        <v>4</v>
      </c>
      <c r="H125" s="292">
        <v>5</v>
      </c>
      <c r="I125" s="175">
        <v>6</v>
      </c>
      <c r="J125" s="175">
        <v>7</v>
      </c>
      <c r="K125" s="192">
        <v>8</v>
      </c>
      <c r="L125" s="290">
        <v>9</v>
      </c>
      <c r="M125" s="175">
        <v>10</v>
      </c>
      <c r="N125" s="290">
        <v>11</v>
      </c>
      <c r="O125" s="175">
        <v>12</v>
      </c>
      <c r="P125" s="290">
        <v>13</v>
      </c>
    </row>
    <row r="126" spans="1:16" ht="27.75" thickBot="1">
      <c r="A126" s="115" t="s">
        <v>125</v>
      </c>
      <c r="B126" s="514" t="s">
        <v>126</v>
      </c>
      <c r="C126" s="515"/>
      <c r="D126" s="516"/>
      <c r="E126" s="108"/>
      <c r="F126" s="108"/>
      <c r="G126" s="13"/>
      <c r="H126" s="13"/>
      <c r="I126" s="13"/>
      <c r="J126" s="13"/>
      <c r="K126" s="84">
        <f aca="true" t="shared" si="15" ref="K126:K140">G126</f>
        <v>0</v>
      </c>
      <c r="L126" s="15">
        <f aca="true" t="shared" si="16" ref="L126:L140">0+K126</f>
        <v>0</v>
      </c>
      <c r="M126" s="119">
        <f aca="true" t="shared" si="17" ref="M126:N141">E126-K126</f>
        <v>0</v>
      </c>
      <c r="N126" s="124">
        <f t="shared" si="17"/>
        <v>0</v>
      </c>
      <c r="O126" s="31">
        <v>0</v>
      </c>
      <c r="P126" s="123">
        <v>0</v>
      </c>
    </row>
    <row r="127" spans="1:16" ht="27.75" thickBot="1">
      <c r="A127" s="116" t="s">
        <v>127</v>
      </c>
      <c r="B127" s="427" t="s">
        <v>128</v>
      </c>
      <c r="C127" s="428"/>
      <c r="D127" s="429"/>
      <c r="E127" s="108"/>
      <c r="F127" s="108"/>
      <c r="G127" s="13"/>
      <c r="H127" s="13"/>
      <c r="I127" s="13"/>
      <c r="J127" s="13"/>
      <c r="K127" s="84">
        <f t="shared" si="15"/>
        <v>0</v>
      </c>
      <c r="L127" s="15">
        <f t="shared" si="16"/>
        <v>0</v>
      </c>
      <c r="M127" s="119">
        <f t="shared" si="17"/>
        <v>0</v>
      </c>
      <c r="N127" s="124">
        <f t="shared" si="17"/>
        <v>0</v>
      </c>
      <c r="O127" s="31">
        <v>0</v>
      </c>
      <c r="P127" s="123">
        <v>0</v>
      </c>
    </row>
    <row r="128" spans="1:16" ht="30.75" thickBot="1">
      <c r="A128" s="39" t="s">
        <v>129</v>
      </c>
      <c r="B128" s="359" t="s">
        <v>130</v>
      </c>
      <c r="C128" s="360"/>
      <c r="D128" s="361"/>
      <c r="E128" s="108"/>
      <c r="F128" s="108">
        <f>300000+E128</f>
        <v>300000</v>
      </c>
      <c r="G128" s="13">
        <v>13950</v>
      </c>
      <c r="H128" s="13"/>
      <c r="I128" s="13"/>
      <c r="J128" s="13"/>
      <c r="K128" s="84">
        <f>I128+G128</f>
        <v>13950</v>
      </c>
      <c r="L128" s="15">
        <f>279245.39+K128</f>
        <v>293195.39</v>
      </c>
      <c r="M128" s="119">
        <f t="shared" si="17"/>
        <v>-13950</v>
      </c>
      <c r="N128" s="124">
        <f t="shared" si="17"/>
        <v>6804.609999999986</v>
      </c>
      <c r="O128" s="31">
        <v>0</v>
      </c>
      <c r="P128" s="123">
        <v>0</v>
      </c>
    </row>
    <row r="129" spans="1:16" ht="30.75" customHeight="1" thickBot="1">
      <c r="A129" s="39" t="s">
        <v>131</v>
      </c>
      <c r="B129" s="387" t="s">
        <v>222</v>
      </c>
      <c r="C129" s="388"/>
      <c r="D129" s="389"/>
      <c r="E129" s="108">
        <v>12751</v>
      </c>
      <c r="F129" s="108">
        <f>89252+E129</f>
        <v>102003</v>
      </c>
      <c r="G129" s="13"/>
      <c r="H129" s="13"/>
      <c r="I129" s="13"/>
      <c r="J129" s="13"/>
      <c r="K129" s="84">
        <f>H129</f>
        <v>0</v>
      </c>
      <c r="L129" s="15">
        <f>153006+K129</f>
        <v>153006</v>
      </c>
      <c r="M129" s="119">
        <f t="shared" si="17"/>
        <v>12751</v>
      </c>
      <c r="N129" s="124">
        <f t="shared" si="17"/>
        <v>-51003</v>
      </c>
      <c r="O129" s="31">
        <v>0</v>
      </c>
      <c r="P129" s="123">
        <v>0</v>
      </c>
    </row>
    <row r="130" spans="1:16" ht="30.75" thickBot="1">
      <c r="A130" s="73" t="s">
        <v>133</v>
      </c>
      <c r="B130" s="359" t="s">
        <v>134</v>
      </c>
      <c r="C130" s="360"/>
      <c r="D130" s="361"/>
      <c r="E130" s="108"/>
      <c r="F130" s="108"/>
      <c r="G130" s="13"/>
      <c r="H130" s="13"/>
      <c r="I130" s="13"/>
      <c r="J130" s="13"/>
      <c r="K130" s="84">
        <f t="shared" si="15"/>
        <v>0</v>
      </c>
      <c r="L130" s="15">
        <f>1500+K130</f>
        <v>1500</v>
      </c>
      <c r="M130" s="119">
        <f t="shared" si="17"/>
        <v>0</v>
      </c>
      <c r="N130" s="124">
        <f t="shared" si="17"/>
        <v>-1500</v>
      </c>
      <c r="O130" s="31">
        <v>0</v>
      </c>
      <c r="P130" s="123">
        <v>0</v>
      </c>
    </row>
    <row r="131" spans="1:16" ht="30.75" thickBot="1">
      <c r="A131" s="73" t="s">
        <v>135</v>
      </c>
      <c r="B131" s="511" t="s">
        <v>136</v>
      </c>
      <c r="C131" s="512"/>
      <c r="D131" s="513"/>
      <c r="E131" s="108"/>
      <c r="F131" s="108">
        <f>6000+E131</f>
        <v>6000</v>
      </c>
      <c r="G131" s="13"/>
      <c r="H131" s="13"/>
      <c r="I131" s="13"/>
      <c r="J131" s="13"/>
      <c r="K131" s="84">
        <f t="shared" si="15"/>
        <v>0</v>
      </c>
      <c r="L131" s="15">
        <f>9934.67+K131</f>
        <v>9934.67</v>
      </c>
      <c r="M131" s="119">
        <f t="shared" si="17"/>
        <v>0</v>
      </c>
      <c r="N131" s="124">
        <f t="shared" si="17"/>
        <v>-3934.67</v>
      </c>
      <c r="O131" s="31">
        <v>0</v>
      </c>
      <c r="P131" s="123">
        <v>0</v>
      </c>
    </row>
    <row r="132" spans="1:19" ht="33.75" customHeight="1" thickBot="1">
      <c r="A132" s="40">
        <v>15</v>
      </c>
      <c r="B132" s="338" t="s">
        <v>137</v>
      </c>
      <c r="C132" s="338"/>
      <c r="D132" s="339"/>
      <c r="E132" s="108">
        <v>0</v>
      </c>
      <c r="F132" s="114">
        <f>F133</f>
        <v>0</v>
      </c>
      <c r="G132" s="32">
        <f>G133+G134</f>
        <v>45969.27</v>
      </c>
      <c r="H132" s="13"/>
      <c r="I132" s="13"/>
      <c r="J132" s="13"/>
      <c r="K132" s="83">
        <f t="shared" si="15"/>
        <v>45969.27</v>
      </c>
      <c r="L132" s="23">
        <f>L133+L134</f>
        <v>244030.06999999998</v>
      </c>
      <c r="M132" s="120">
        <f t="shared" si="17"/>
        <v>-45969.27</v>
      </c>
      <c r="N132" s="125">
        <f t="shared" si="17"/>
        <v>-244030.06999999998</v>
      </c>
      <c r="O132" s="26">
        <v>0</v>
      </c>
      <c r="P132" s="27">
        <v>0</v>
      </c>
      <c r="Q132" s="173"/>
      <c r="R132" s="173"/>
      <c r="S132" s="173"/>
    </row>
    <row r="133" spans="1:19" ht="21" customHeight="1" thickBot="1">
      <c r="A133" s="29" t="s">
        <v>187</v>
      </c>
      <c r="B133" s="390" t="s">
        <v>152</v>
      </c>
      <c r="C133" s="391"/>
      <c r="D133" s="392"/>
      <c r="E133" s="112"/>
      <c r="F133" s="108"/>
      <c r="G133" s="13">
        <v>45969.27</v>
      </c>
      <c r="H133" s="13"/>
      <c r="I133" s="13"/>
      <c r="J133" s="13"/>
      <c r="K133" s="84">
        <f t="shared" si="15"/>
        <v>45969.27</v>
      </c>
      <c r="L133" s="15">
        <f>198060.8+K133</f>
        <v>244030.06999999998</v>
      </c>
      <c r="M133" s="119">
        <f t="shared" si="17"/>
        <v>-45969.27</v>
      </c>
      <c r="N133" s="124">
        <f t="shared" si="17"/>
        <v>-244030.06999999998</v>
      </c>
      <c r="O133" s="31">
        <v>0</v>
      </c>
      <c r="P133" s="123">
        <v>0</v>
      </c>
      <c r="Q133" s="173"/>
      <c r="R133" s="173"/>
      <c r="S133" s="173"/>
    </row>
    <row r="134" spans="1:19" ht="29.25" customHeight="1" thickBot="1">
      <c r="A134" s="29" t="s">
        <v>188</v>
      </c>
      <c r="B134" s="340" t="s">
        <v>171</v>
      </c>
      <c r="C134" s="341"/>
      <c r="D134" s="342"/>
      <c r="E134" s="112"/>
      <c r="F134" s="108"/>
      <c r="G134" s="13"/>
      <c r="H134" s="13"/>
      <c r="I134" s="13"/>
      <c r="J134" s="13"/>
      <c r="K134" s="84">
        <f t="shared" si="15"/>
        <v>0</v>
      </c>
      <c r="L134" s="15">
        <f t="shared" si="16"/>
        <v>0</v>
      </c>
      <c r="M134" s="119">
        <f t="shared" si="17"/>
        <v>0</v>
      </c>
      <c r="N134" s="124">
        <f t="shared" si="17"/>
        <v>0</v>
      </c>
      <c r="O134" s="31">
        <v>0</v>
      </c>
      <c r="P134" s="123">
        <v>0</v>
      </c>
      <c r="Q134" s="173"/>
      <c r="R134" s="173"/>
      <c r="S134" s="173"/>
    </row>
    <row r="135" spans="1:19" ht="28.5" customHeight="1" thickBot="1">
      <c r="A135" s="41">
        <v>16</v>
      </c>
      <c r="B135" s="338" t="s">
        <v>138</v>
      </c>
      <c r="C135" s="338"/>
      <c r="D135" s="339"/>
      <c r="E135" s="108">
        <v>0</v>
      </c>
      <c r="F135" s="114">
        <f>F136</f>
        <v>0</v>
      </c>
      <c r="G135" s="32">
        <f>G136+G137</f>
        <v>450000</v>
      </c>
      <c r="H135" s="13"/>
      <c r="I135" s="13"/>
      <c r="J135" s="13"/>
      <c r="K135" s="83">
        <f t="shared" si="15"/>
        <v>450000</v>
      </c>
      <c r="L135" s="23">
        <f>507603+K135</f>
        <v>957603</v>
      </c>
      <c r="M135" s="120">
        <f t="shared" si="17"/>
        <v>-450000</v>
      </c>
      <c r="N135" s="125">
        <f t="shared" si="17"/>
        <v>-957603</v>
      </c>
      <c r="O135" s="26">
        <v>0</v>
      </c>
      <c r="P135" s="27">
        <v>0</v>
      </c>
      <c r="Q135" s="173"/>
      <c r="R135" s="173"/>
      <c r="S135" s="173"/>
    </row>
    <row r="136" spans="1:19" ht="20.25" customHeight="1" thickBot="1">
      <c r="A136" s="29" t="s">
        <v>189</v>
      </c>
      <c r="B136" s="390" t="s">
        <v>152</v>
      </c>
      <c r="C136" s="391"/>
      <c r="D136" s="392"/>
      <c r="E136" s="112"/>
      <c r="F136" s="108">
        <v>0</v>
      </c>
      <c r="G136" s="13">
        <v>450000</v>
      </c>
      <c r="H136" s="13"/>
      <c r="I136" s="13"/>
      <c r="J136" s="13"/>
      <c r="K136" s="84">
        <f t="shared" si="15"/>
        <v>450000</v>
      </c>
      <c r="L136" s="15">
        <f>507603+K136</f>
        <v>957603</v>
      </c>
      <c r="M136" s="119">
        <f t="shared" si="17"/>
        <v>-450000</v>
      </c>
      <c r="N136" s="124">
        <f t="shared" si="17"/>
        <v>-957603</v>
      </c>
      <c r="O136" s="31">
        <v>0</v>
      </c>
      <c r="P136" s="123">
        <v>0</v>
      </c>
      <c r="Q136" s="173"/>
      <c r="R136" s="173"/>
      <c r="S136" s="173"/>
    </row>
    <row r="137" spans="1:19" ht="26.25" customHeight="1" thickBot="1">
      <c r="A137" s="29" t="s">
        <v>190</v>
      </c>
      <c r="B137" s="340" t="s">
        <v>171</v>
      </c>
      <c r="C137" s="341"/>
      <c r="D137" s="342"/>
      <c r="E137" s="112"/>
      <c r="F137" s="108"/>
      <c r="G137" s="13"/>
      <c r="H137" s="13"/>
      <c r="I137" s="13"/>
      <c r="J137" s="13"/>
      <c r="K137" s="84">
        <f t="shared" si="15"/>
        <v>0</v>
      </c>
      <c r="L137" s="15">
        <f t="shared" si="16"/>
        <v>0</v>
      </c>
      <c r="M137" s="119">
        <f t="shared" si="17"/>
        <v>0</v>
      </c>
      <c r="N137" s="124">
        <f t="shared" si="17"/>
        <v>0</v>
      </c>
      <c r="O137" s="31">
        <v>0</v>
      </c>
      <c r="P137" s="123">
        <v>0</v>
      </c>
      <c r="Q137" s="173"/>
      <c r="R137" s="173"/>
      <c r="S137" s="173"/>
    </row>
    <row r="138" spans="1:19" ht="44.25" customHeight="1" thickBot="1">
      <c r="A138" s="40">
        <v>17</v>
      </c>
      <c r="B138" s="338" t="s">
        <v>139</v>
      </c>
      <c r="C138" s="338"/>
      <c r="D138" s="339"/>
      <c r="E138" s="114">
        <v>0</v>
      </c>
      <c r="F138" s="114"/>
      <c r="G138" s="32">
        <f>G139+G140</f>
        <v>86350</v>
      </c>
      <c r="H138" s="32"/>
      <c r="I138" s="32"/>
      <c r="J138" s="32"/>
      <c r="K138" s="83">
        <f t="shared" si="15"/>
        <v>86350</v>
      </c>
      <c r="L138" s="23">
        <f t="shared" si="16"/>
        <v>86350</v>
      </c>
      <c r="M138" s="120">
        <f t="shared" si="17"/>
        <v>-86350</v>
      </c>
      <c r="N138" s="125">
        <f t="shared" si="17"/>
        <v>-86350</v>
      </c>
      <c r="O138" s="26">
        <v>0</v>
      </c>
      <c r="P138" s="27">
        <v>0</v>
      </c>
      <c r="Q138" s="173"/>
      <c r="R138" s="173"/>
      <c r="S138" s="173"/>
    </row>
    <row r="139" spans="1:19" ht="27" customHeight="1" thickBot="1">
      <c r="A139" s="29" t="s">
        <v>191</v>
      </c>
      <c r="B139" s="340" t="s">
        <v>152</v>
      </c>
      <c r="C139" s="341"/>
      <c r="D139" s="342"/>
      <c r="E139" s="112"/>
      <c r="F139" s="108"/>
      <c r="G139" s="13">
        <v>86350</v>
      </c>
      <c r="H139" s="13"/>
      <c r="I139" s="13"/>
      <c r="J139" s="13"/>
      <c r="K139" s="84">
        <f t="shared" si="15"/>
        <v>86350</v>
      </c>
      <c r="L139" s="15">
        <f t="shared" si="16"/>
        <v>86350</v>
      </c>
      <c r="M139" s="119">
        <f t="shared" si="17"/>
        <v>-86350</v>
      </c>
      <c r="N139" s="124">
        <f t="shared" si="17"/>
        <v>-86350</v>
      </c>
      <c r="O139" s="31">
        <v>0</v>
      </c>
      <c r="P139" s="123">
        <v>0</v>
      </c>
      <c r="Q139" s="173"/>
      <c r="R139" s="173"/>
      <c r="S139" s="173"/>
    </row>
    <row r="140" spans="1:19" ht="29.25" customHeight="1" thickBot="1">
      <c r="A140" s="29" t="s">
        <v>192</v>
      </c>
      <c r="B140" s="340" t="s">
        <v>171</v>
      </c>
      <c r="C140" s="341"/>
      <c r="D140" s="342"/>
      <c r="E140" s="112"/>
      <c r="F140" s="108"/>
      <c r="G140" s="13"/>
      <c r="H140" s="13"/>
      <c r="I140" s="13"/>
      <c r="J140" s="13"/>
      <c r="K140" s="84">
        <f t="shared" si="15"/>
        <v>0</v>
      </c>
      <c r="L140" s="15">
        <f t="shared" si="16"/>
        <v>0</v>
      </c>
      <c r="M140" s="119">
        <f t="shared" si="17"/>
        <v>0</v>
      </c>
      <c r="N140" s="124">
        <f t="shared" si="17"/>
        <v>0</v>
      </c>
      <c r="O140" s="31">
        <v>0</v>
      </c>
      <c r="P140" s="123">
        <v>0</v>
      </c>
      <c r="Q140" s="173"/>
      <c r="R140" s="173"/>
      <c r="S140" s="173"/>
    </row>
    <row r="141" spans="1:19" ht="22.5" customHeight="1" thickBot="1">
      <c r="A141" s="40">
        <v>18</v>
      </c>
      <c r="B141" s="323" t="s">
        <v>140</v>
      </c>
      <c r="C141" s="323"/>
      <c r="D141" s="324"/>
      <c r="E141" s="108">
        <v>0</v>
      </c>
      <c r="F141" s="108"/>
      <c r="G141" s="13"/>
      <c r="H141" s="13"/>
      <c r="I141" s="13"/>
      <c r="J141" s="32"/>
      <c r="K141" s="83">
        <f>J141</f>
        <v>0</v>
      </c>
      <c r="L141" s="23">
        <f>967479.82+K141</f>
        <v>967479.82</v>
      </c>
      <c r="M141" s="120">
        <f t="shared" si="17"/>
        <v>0</v>
      </c>
      <c r="N141" s="125">
        <f t="shared" si="17"/>
        <v>-967479.82</v>
      </c>
      <c r="O141" s="26">
        <v>0</v>
      </c>
      <c r="P141" s="27">
        <v>0</v>
      </c>
      <c r="Q141" s="173"/>
      <c r="R141" s="173"/>
      <c r="S141" s="173"/>
    </row>
    <row r="142" spans="1:19" ht="50.25" customHeight="1" thickBot="1">
      <c r="A142" s="43"/>
      <c r="B142" s="328" t="s">
        <v>141</v>
      </c>
      <c r="C142" s="328"/>
      <c r="D142" s="328"/>
      <c r="E142" s="328"/>
      <c r="F142" s="208"/>
      <c r="G142" s="208" t="s">
        <v>4</v>
      </c>
      <c r="H142" s="288" t="s">
        <v>5</v>
      </c>
      <c r="I142" s="532" t="s">
        <v>6</v>
      </c>
      <c r="J142" s="533"/>
      <c r="K142" s="176" t="s">
        <v>11</v>
      </c>
      <c r="L142" s="175" t="s">
        <v>8</v>
      </c>
      <c r="M142" s="175" t="s">
        <v>9</v>
      </c>
      <c r="N142" s="210" t="s">
        <v>10</v>
      </c>
      <c r="O142" s="211"/>
      <c r="P142" s="289"/>
      <c r="Q142" s="173"/>
      <c r="R142" s="173"/>
      <c r="S142" s="173"/>
    </row>
    <row r="143" spans="1:19" ht="23.25" customHeight="1" thickBot="1">
      <c r="A143" s="42"/>
      <c r="B143" s="328" t="s">
        <v>12</v>
      </c>
      <c r="C143" s="328"/>
      <c r="D143" s="328"/>
      <c r="E143" s="329"/>
      <c r="F143" s="47"/>
      <c r="G143" s="47">
        <v>0</v>
      </c>
      <c r="H143" s="3">
        <v>0</v>
      </c>
      <c r="I143" s="330">
        <v>0</v>
      </c>
      <c r="J143" s="331"/>
      <c r="K143" s="86"/>
      <c r="L143" s="3">
        <v>0</v>
      </c>
      <c r="M143" s="280">
        <v>0</v>
      </c>
      <c r="N143" s="280">
        <v>0</v>
      </c>
      <c r="O143" s="3"/>
      <c r="P143" s="3">
        <v>0</v>
      </c>
      <c r="Q143" s="173"/>
      <c r="R143" s="173"/>
      <c r="S143" s="173"/>
    </row>
    <row r="144" spans="1:19" ht="27" customHeight="1" thickBot="1">
      <c r="A144" s="43"/>
      <c r="B144" s="328" t="s">
        <v>13</v>
      </c>
      <c r="C144" s="328"/>
      <c r="D144" s="328"/>
      <c r="E144" s="329"/>
      <c r="F144" s="3"/>
      <c r="G144" s="3">
        <f>F10+G17-G32-G36-G40-G45-G55-G65-G68-G72-G75-G79-G89-G102-G133-G136-G139</f>
        <v>-4089.920000000042</v>
      </c>
      <c r="H144" s="3">
        <f>G18+H10-H29</f>
        <v>-78640.23000000001</v>
      </c>
      <c r="I144" s="330">
        <f>I10+G19-I104-I66-I97-I76</f>
        <v>8149</v>
      </c>
      <c r="J144" s="331"/>
      <c r="K144" s="86">
        <f>O10+G22-J54</f>
        <v>12001.55</v>
      </c>
      <c r="L144" s="3">
        <f>L10+G23-J141</f>
        <v>210431.27000000002</v>
      </c>
      <c r="M144" s="280">
        <v>0</v>
      </c>
      <c r="N144" s="3">
        <v>0</v>
      </c>
      <c r="O144" s="48"/>
      <c r="P144" s="3">
        <f>SUM(G144:O144)</f>
        <v>147851.66999999998</v>
      </c>
      <c r="Q144" s="173"/>
      <c r="R144" s="196">
        <f>P5+L16-L29</f>
        <v>147851.66999999993</v>
      </c>
      <c r="S144" s="18"/>
    </row>
    <row r="145" spans="1:19" ht="24.75" customHeight="1" thickBot="1">
      <c r="A145" s="49"/>
      <c r="B145" s="524" t="s">
        <v>245</v>
      </c>
      <c r="C145" s="524"/>
      <c r="D145" s="524"/>
      <c r="E145" s="525"/>
      <c r="F145" s="346"/>
      <c r="G145" s="346"/>
      <c r="H145" s="346"/>
      <c r="I145" s="346"/>
      <c r="J145" s="346"/>
      <c r="K145" s="346"/>
      <c r="L145" s="346"/>
      <c r="M145" s="346"/>
      <c r="N145" s="347"/>
      <c r="O145" s="348"/>
      <c r="P145" s="50">
        <f>P144</f>
        <v>147851.66999999998</v>
      </c>
      <c r="Q145" s="173"/>
      <c r="R145" s="18"/>
      <c r="S145" s="18"/>
    </row>
    <row r="146" spans="1:19" ht="15">
      <c r="A146" s="173"/>
      <c r="B146" s="213"/>
      <c r="C146" s="213"/>
      <c r="D146" s="213"/>
      <c r="E146" s="213"/>
      <c r="F146" s="52"/>
      <c r="G146" s="52"/>
      <c r="H146" s="52"/>
      <c r="I146" s="52"/>
      <c r="J146" s="52"/>
      <c r="K146" s="87"/>
      <c r="L146" s="52"/>
      <c r="M146" s="52"/>
      <c r="N146" s="52"/>
      <c r="O146" s="53"/>
      <c r="P146" s="54"/>
      <c r="Q146" s="173"/>
      <c r="R146" s="18"/>
      <c r="S146" s="173"/>
    </row>
    <row r="147" spans="1:19" ht="15">
      <c r="A147" s="173"/>
      <c r="B147" s="343" t="s">
        <v>142</v>
      </c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9" t="s">
        <v>143</v>
      </c>
      <c r="P147" s="349"/>
      <c r="Q147" s="173"/>
      <c r="R147" s="196"/>
      <c r="S147" s="18"/>
    </row>
    <row r="148" spans="1:19" ht="15">
      <c r="A148" s="173"/>
      <c r="B148" s="343" t="s">
        <v>144</v>
      </c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 t="s">
        <v>145</v>
      </c>
      <c r="P148" s="343"/>
      <c r="Q148" s="173"/>
      <c r="R148" s="173"/>
      <c r="S148" s="173"/>
    </row>
    <row r="149" spans="1:19" ht="15">
      <c r="A149" s="173"/>
      <c r="B149" s="286"/>
      <c r="C149" s="286"/>
      <c r="D149" s="286"/>
      <c r="E149" s="286"/>
      <c r="F149" s="286"/>
      <c r="G149" s="286"/>
      <c r="H149" s="286"/>
      <c r="I149" s="286"/>
      <c r="J149" s="55"/>
      <c r="K149" s="88"/>
      <c r="L149" s="55"/>
      <c r="M149" s="286"/>
      <c r="N149" s="286"/>
      <c r="O149" s="286"/>
      <c r="P149" s="55"/>
      <c r="Q149" s="173"/>
      <c r="R149" s="18"/>
      <c r="S149" s="173"/>
    </row>
    <row r="151" spans="1:19" ht="15">
      <c r="A151" s="173"/>
      <c r="B151" s="173"/>
      <c r="C151" s="173"/>
      <c r="D151" s="173"/>
      <c r="E151" s="173"/>
      <c r="F151" s="173"/>
      <c r="G151" s="173"/>
      <c r="H151" s="173"/>
      <c r="I151" s="250"/>
      <c r="J151" s="173"/>
      <c r="K151" s="173"/>
      <c r="L151" s="173"/>
      <c r="M151" s="173"/>
      <c r="N151" s="173"/>
      <c r="O151" s="173"/>
      <c r="P151" s="173"/>
      <c r="Q151" s="173"/>
      <c r="R151" s="18"/>
      <c r="S151" s="173"/>
    </row>
    <row r="152" spans="1:19" ht="15">
      <c r="A152" s="173"/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8"/>
      <c r="S152" s="173"/>
    </row>
    <row r="153" spans="1:19" ht="15">
      <c r="A153" s="173"/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8"/>
      <c r="O153" s="173"/>
      <c r="P153" s="173"/>
      <c r="Q153" s="173"/>
      <c r="R153" s="173"/>
      <c r="S153" s="173"/>
    </row>
    <row r="154" spans="12:16" ht="15">
      <c r="L154" s="173"/>
      <c r="M154" s="173"/>
      <c r="N154" s="18"/>
      <c r="O154" s="173"/>
      <c r="P154" s="18"/>
    </row>
    <row r="155" spans="12:16" ht="15">
      <c r="L155" s="173"/>
      <c r="M155" s="173"/>
      <c r="N155" s="214"/>
      <c r="O155" s="173"/>
      <c r="P155" s="18"/>
    </row>
    <row r="156" spans="12:16" ht="15">
      <c r="L156" s="18"/>
      <c r="M156" s="173"/>
      <c r="N156" s="173"/>
      <c r="O156" s="173"/>
      <c r="P156" s="173"/>
    </row>
    <row r="157" spans="12:16" ht="15">
      <c r="L157" s="18"/>
      <c r="M157" s="18"/>
      <c r="N157" s="173"/>
      <c r="O157" s="173"/>
      <c r="P157" s="173"/>
    </row>
  </sheetData>
  <sheetProtection/>
  <mergeCells count="200">
    <mergeCell ref="B145:E145"/>
    <mergeCell ref="F145:O145"/>
    <mergeCell ref="B147:E147"/>
    <mergeCell ref="F147:N147"/>
    <mergeCell ref="O147:P147"/>
    <mergeCell ref="B148:E148"/>
    <mergeCell ref="F148:N148"/>
    <mergeCell ref="O148:P148"/>
    <mergeCell ref="B142:E142"/>
    <mergeCell ref="I142:J142"/>
    <mergeCell ref="B143:E143"/>
    <mergeCell ref="I143:J143"/>
    <mergeCell ref="B144:E144"/>
    <mergeCell ref="I144:J144"/>
    <mergeCell ref="B136:D136"/>
    <mergeCell ref="B137:D137"/>
    <mergeCell ref="B138:D138"/>
    <mergeCell ref="B139:D139"/>
    <mergeCell ref="B140:D140"/>
    <mergeCell ref="B141:D141"/>
    <mergeCell ref="B130:D130"/>
    <mergeCell ref="B131:D131"/>
    <mergeCell ref="B132:D132"/>
    <mergeCell ref="B133:D133"/>
    <mergeCell ref="B134:D134"/>
    <mergeCell ref="B135:D135"/>
    <mergeCell ref="P123:P124"/>
    <mergeCell ref="B125:D125"/>
    <mergeCell ref="B126:D126"/>
    <mergeCell ref="B127:D127"/>
    <mergeCell ref="B128:D128"/>
    <mergeCell ref="B129:D129"/>
    <mergeCell ref="B120:D120"/>
    <mergeCell ref="B121:P122"/>
    <mergeCell ref="B123:D124"/>
    <mergeCell ref="E123:E124"/>
    <mergeCell ref="F123:F124"/>
    <mergeCell ref="G123:K123"/>
    <mergeCell ref="L123:L124"/>
    <mergeCell ref="M123:M124"/>
    <mergeCell ref="N123:N124"/>
    <mergeCell ref="O123:O124"/>
    <mergeCell ref="B114:D114"/>
    <mergeCell ref="B115:D115"/>
    <mergeCell ref="B116:D116"/>
    <mergeCell ref="B117:D117"/>
    <mergeCell ref="B118:D118"/>
    <mergeCell ref="B119:D119"/>
    <mergeCell ref="B108:D108"/>
    <mergeCell ref="B109:D109"/>
    <mergeCell ref="B110:D110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96:D96"/>
    <mergeCell ref="B97:D97"/>
    <mergeCell ref="B98:D98"/>
    <mergeCell ref="B99:D99"/>
    <mergeCell ref="B100:D100"/>
    <mergeCell ref="B101:D101"/>
    <mergeCell ref="B90:D90"/>
    <mergeCell ref="B91:D91"/>
    <mergeCell ref="B92:D92"/>
    <mergeCell ref="B93:D93"/>
    <mergeCell ref="B94:D94"/>
    <mergeCell ref="B95:D95"/>
    <mergeCell ref="N85:N86"/>
    <mergeCell ref="O85:O86"/>
    <mergeCell ref="P85:P86"/>
    <mergeCell ref="B87:D87"/>
    <mergeCell ref="B88:D88"/>
    <mergeCell ref="B89:D89"/>
    <mergeCell ref="B81:D81"/>
    <mergeCell ref="A83:A84"/>
    <mergeCell ref="B83:P84"/>
    <mergeCell ref="A85:A86"/>
    <mergeCell ref="B85:D86"/>
    <mergeCell ref="E85:E86"/>
    <mergeCell ref="F85:F86"/>
    <mergeCell ref="G85:K85"/>
    <mergeCell ref="L85:L86"/>
    <mergeCell ref="M85:M86"/>
    <mergeCell ref="B74:D74"/>
    <mergeCell ref="B75:D75"/>
    <mergeCell ref="B76:D76"/>
    <mergeCell ref="B78:D78"/>
    <mergeCell ref="B79:D79"/>
    <mergeCell ref="B80:D80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49:D49"/>
    <mergeCell ref="B50:D50"/>
    <mergeCell ref="B51:D51"/>
    <mergeCell ref="B52:D52"/>
    <mergeCell ref="B54:D54"/>
    <mergeCell ref="B55:D55"/>
    <mergeCell ref="B42:D42"/>
    <mergeCell ref="B43:D43"/>
    <mergeCell ref="B44:D44"/>
    <mergeCell ref="B45:D45"/>
    <mergeCell ref="B46:D46"/>
    <mergeCell ref="B48:D48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M26:M27"/>
    <mergeCell ref="N26:N27"/>
    <mergeCell ref="O26:O27"/>
    <mergeCell ref="P26:P27"/>
    <mergeCell ref="B28:D28"/>
    <mergeCell ref="B29:D29"/>
    <mergeCell ref="B23:D23"/>
    <mergeCell ref="G23:J23"/>
    <mergeCell ref="A24:A25"/>
    <mergeCell ref="B24:P25"/>
    <mergeCell ref="A26:A27"/>
    <mergeCell ref="B26:D27"/>
    <mergeCell ref="E26:E27"/>
    <mergeCell ref="F26:F27"/>
    <mergeCell ref="G26:K26"/>
    <mergeCell ref="L26:L27"/>
    <mergeCell ref="B20:D20"/>
    <mergeCell ref="G20:J20"/>
    <mergeCell ref="B21:D21"/>
    <mergeCell ref="G21:J21"/>
    <mergeCell ref="B22:D22"/>
    <mergeCell ref="G22:J22"/>
    <mergeCell ref="B17:D17"/>
    <mergeCell ref="G17:J17"/>
    <mergeCell ref="B18:D18"/>
    <mergeCell ref="G18:J18"/>
    <mergeCell ref="B19:D19"/>
    <mergeCell ref="G19:J19"/>
    <mergeCell ref="P12:P13"/>
    <mergeCell ref="B14:D14"/>
    <mergeCell ref="G14:J14"/>
    <mergeCell ref="A15:A16"/>
    <mergeCell ref="B15:D16"/>
    <mergeCell ref="G15:J15"/>
    <mergeCell ref="G16:J16"/>
    <mergeCell ref="B11:E11"/>
    <mergeCell ref="F11:P11"/>
    <mergeCell ref="A12:A13"/>
    <mergeCell ref="B12:E13"/>
    <mergeCell ref="F12:F13"/>
    <mergeCell ref="G12:K13"/>
    <mergeCell ref="L12:L13"/>
    <mergeCell ref="M12:M13"/>
    <mergeCell ref="N12:N13"/>
    <mergeCell ref="O12:O13"/>
    <mergeCell ref="B10:E10"/>
    <mergeCell ref="F10:G10"/>
    <mergeCell ref="I10:J10"/>
    <mergeCell ref="B6:E6"/>
    <mergeCell ref="F6:O6"/>
    <mergeCell ref="B7:E7"/>
    <mergeCell ref="F7:P7"/>
    <mergeCell ref="B8:E8"/>
    <mergeCell ref="F8:G8"/>
    <mergeCell ref="I8:J8"/>
    <mergeCell ref="B1:P1"/>
    <mergeCell ref="B2:P2"/>
    <mergeCell ref="B3:P3"/>
    <mergeCell ref="B4:P4"/>
    <mergeCell ref="B5:E5"/>
    <mergeCell ref="F5:O5"/>
    <mergeCell ref="B9:E9"/>
    <mergeCell ref="F9:G9"/>
    <mergeCell ref="I9:J9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Гимназия</dc:creator>
  <cp:keywords/>
  <dc:description/>
  <cp:lastModifiedBy>Пользователь</cp:lastModifiedBy>
  <cp:lastPrinted>2016-01-14T08:07:55Z</cp:lastPrinted>
  <dcterms:created xsi:type="dcterms:W3CDTF">2015-02-03T09:55:07Z</dcterms:created>
  <dcterms:modified xsi:type="dcterms:W3CDTF">2017-11-02T11:08:00Z</dcterms:modified>
  <cp:category/>
  <cp:version/>
  <cp:contentType/>
  <cp:contentStatus/>
</cp:coreProperties>
</file>