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80" windowWidth="21075" windowHeight="9375" activeTab="5"/>
  </bookViews>
  <sheets>
    <sheet name="ЯНВАРЬ 2016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<sst xmlns="http://schemas.openxmlformats.org/spreadsheetml/2006/main" count="3757" uniqueCount="252">
  <si>
    <t>ФИНАНСОВЫЙ ОТЧЕТ</t>
  </si>
  <si>
    <t xml:space="preserve">                                                                                                                     ЧОУРО "Православная гимназия" </t>
  </si>
  <si>
    <t xml:space="preserve">        (наименование гимназии)</t>
  </si>
  <si>
    <t>Денежные средства на начало периода</t>
  </si>
  <si>
    <t>целевые поступления (Церковь, Епархия)</t>
  </si>
  <si>
    <t>средства, получаемые из бюджета</t>
  </si>
  <si>
    <t>благотворительная помощь</t>
  </si>
  <si>
    <t>добровольное пожертвование</t>
  </si>
  <si>
    <t>прочие поступления</t>
  </si>
  <si>
    <t>возмещение ФСС</t>
  </si>
  <si>
    <t>школа буд.первоклассника</t>
  </si>
  <si>
    <t>Прочие поступления.Возмещения</t>
  </si>
  <si>
    <t>в т.ч. касса</t>
  </si>
  <si>
    <t>расчетный счет</t>
  </si>
  <si>
    <t xml:space="preserve">Наименование </t>
  </si>
  <si>
    <t xml:space="preserve">Отчетный месяц                                                                                            </t>
  </si>
  <si>
    <t>нарастающим с начало года</t>
  </si>
  <si>
    <t>отклонения</t>
  </si>
  <si>
    <t>отклонение  (с начало года)</t>
  </si>
  <si>
    <t xml:space="preserve">кредит-кая задол. на начало месяца         </t>
  </si>
  <si>
    <t xml:space="preserve">кредит-кая задол. на конец месяца           </t>
  </si>
  <si>
    <t>1</t>
  </si>
  <si>
    <t>2</t>
  </si>
  <si>
    <t xml:space="preserve">ВСЕГО </t>
  </si>
  <si>
    <t>план (месяц)</t>
  </si>
  <si>
    <t>план с начала года</t>
  </si>
  <si>
    <t>факт</t>
  </si>
  <si>
    <t>ИТОГО</t>
  </si>
  <si>
    <t>месяц</t>
  </si>
  <si>
    <t>А</t>
  </si>
  <si>
    <t>Целеые поступления(Церковь,Епархия)</t>
  </si>
  <si>
    <t>Б</t>
  </si>
  <si>
    <t>Средства, получаемые из бюджета (субвенция)</t>
  </si>
  <si>
    <t>В</t>
  </si>
  <si>
    <t>Благотворительная помощь</t>
  </si>
  <si>
    <t>Г</t>
  </si>
  <si>
    <t>Субсидия из местного бюджета на оплату коммунальных услуг</t>
  </si>
  <si>
    <t>Д</t>
  </si>
  <si>
    <t>Платные услуги</t>
  </si>
  <si>
    <t>Е</t>
  </si>
  <si>
    <t>Прочие услуги (возмещение)</t>
  </si>
  <si>
    <t>Ж</t>
  </si>
  <si>
    <t>Питание  детей</t>
  </si>
  <si>
    <t>Расходы</t>
  </si>
  <si>
    <t>отчетный месяц       (факт)</t>
  </si>
  <si>
    <t>целевые поступления (епархия)</t>
  </si>
  <si>
    <t>субвенция</t>
  </si>
  <si>
    <t>благотворительная помощь,добровольное пожертвование</t>
  </si>
  <si>
    <t>прочие поступления, возмещения</t>
  </si>
  <si>
    <t>Заработная плата</t>
  </si>
  <si>
    <t>1.А.</t>
  </si>
  <si>
    <t>в т. ч. за счет субвенции</t>
  </si>
  <si>
    <t>1.Б.</t>
  </si>
  <si>
    <t>в т. ч. за счет целевых поступлений</t>
  </si>
  <si>
    <t>1.Д.</t>
  </si>
  <si>
    <t>в т. ч. за счет платных услуг</t>
  </si>
  <si>
    <t>Начисления на оплату труда</t>
  </si>
  <si>
    <t>2.А.</t>
  </si>
  <si>
    <t>2.Б.</t>
  </si>
  <si>
    <t>2.Д.</t>
  </si>
  <si>
    <t>3</t>
  </si>
  <si>
    <t>Услуги связи в том числе:</t>
  </si>
  <si>
    <t>3.А.</t>
  </si>
  <si>
    <t>3.Б.</t>
  </si>
  <si>
    <t>3.1</t>
  </si>
  <si>
    <t>телефон</t>
  </si>
  <si>
    <t>3.2</t>
  </si>
  <si>
    <t>интернет</t>
  </si>
  <si>
    <t>3.3</t>
  </si>
  <si>
    <t>4</t>
  </si>
  <si>
    <t>Транспортные услуги ( в том числе)</t>
  </si>
  <si>
    <t>4.А.</t>
  </si>
  <si>
    <t>4.Б.</t>
  </si>
  <si>
    <t>4.Д.</t>
  </si>
  <si>
    <t>4.1</t>
  </si>
  <si>
    <t>проезд в случае служебных командировок</t>
  </si>
  <si>
    <t>4.2</t>
  </si>
  <si>
    <t>проезд на курсы повышения квалификации</t>
  </si>
  <si>
    <t>4.3</t>
  </si>
  <si>
    <t>оплата  доставки груза</t>
  </si>
  <si>
    <t>5</t>
  </si>
  <si>
    <t>Оплата ГСМ , техосмотр, страховка, запчасти</t>
  </si>
  <si>
    <t>5.А.</t>
  </si>
  <si>
    <t>5.Д.</t>
  </si>
  <si>
    <t>6</t>
  </si>
  <si>
    <t>Коммунальные услуги (согласно договоров) в том числе:</t>
  </si>
  <si>
    <t>6.А.</t>
  </si>
  <si>
    <t>6.Г.</t>
  </si>
  <si>
    <t>в т. ч. за счет субсидии из бюджета</t>
  </si>
  <si>
    <t>6.Д.</t>
  </si>
  <si>
    <t>6.Е.</t>
  </si>
  <si>
    <t>6.1</t>
  </si>
  <si>
    <t>Оплата потребления электроэнергии</t>
  </si>
  <si>
    <t>6.2</t>
  </si>
  <si>
    <t>Оплата теплоэнергии</t>
  </si>
  <si>
    <t>Оплата  потребления газа</t>
  </si>
  <si>
    <t>6.4</t>
  </si>
  <si>
    <t>Оплата за канализацию</t>
  </si>
  <si>
    <t>6.5</t>
  </si>
  <si>
    <t>Оплата водоснабжения помещений</t>
  </si>
  <si>
    <t>7</t>
  </si>
  <si>
    <t>Приобр. школьного и церковного инвентаря</t>
  </si>
  <si>
    <t>7.А.</t>
  </si>
  <si>
    <t>7.В.</t>
  </si>
  <si>
    <t>в т. ч. за счет благотворительной помощи</t>
  </si>
  <si>
    <t>8</t>
  </si>
  <si>
    <t>Приобретение оборудования,оргтехники</t>
  </si>
  <si>
    <t>8.А.</t>
  </si>
  <si>
    <t>8.В.</t>
  </si>
  <si>
    <t>8.Д.</t>
  </si>
  <si>
    <t>9</t>
  </si>
  <si>
    <t>Приобр. канцтоваров</t>
  </si>
  <si>
    <t>10</t>
  </si>
  <si>
    <t>Хозинвентарь, инвентарь и моющие средства</t>
  </si>
  <si>
    <t>10.А.</t>
  </si>
  <si>
    <t>10.В.</t>
  </si>
  <si>
    <t>10.Д.</t>
  </si>
  <si>
    <t>11</t>
  </si>
  <si>
    <t>Медикаменты, перевяз.ср-ва и прочие лечебные расходы</t>
  </si>
  <si>
    <t>11.А.</t>
  </si>
  <si>
    <t>12</t>
  </si>
  <si>
    <t xml:space="preserve">Подписка </t>
  </si>
  <si>
    <t>12.А.</t>
  </si>
  <si>
    <t>12.Д.</t>
  </si>
  <si>
    <t xml:space="preserve">прочие поступления, возмещение </t>
  </si>
  <si>
    <t>13</t>
  </si>
  <si>
    <t>Остальные расходы (согласно  договоров) в том числе:</t>
  </si>
  <si>
    <t>13.А.</t>
  </si>
  <si>
    <t>13.Б.</t>
  </si>
  <si>
    <t>13.В.</t>
  </si>
  <si>
    <t>13.Д.</t>
  </si>
  <si>
    <t>13.1</t>
  </si>
  <si>
    <t>услуги охраны</t>
  </si>
  <si>
    <t>13.2</t>
  </si>
  <si>
    <t>ТО электрооборуд.и электросетей</t>
  </si>
  <si>
    <t>13.3</t>
  </si>
  <si>
    <t>Обслуживание, содержание  здания</t>
  </si>
  <si>
    <t>13.4</t>
  </si>
  <si>
    <t>дератизация и дезинфекция</t>
  </si>
  <si>
    <t>13.5</t>
  </si>
  <si>
    <t>оплата услуг банка</t>
  </si>
  <si>
    <t>13.6</t>
  </si>
  <si>
    <t>оплата пож сигнализации</t>
  </si>
  <si>
    <t>13.7</t>
  </si>
  <si>
    <t>Обслуживание копмпьют программ</t>
  </si>
  <si>
    <t>13.8</t>
  </si>
  <si>
    <t>вывоз мусора</t>
  </si>
  <si>
    <t>14</t>
  </si>
  <si>
    <t>Прочие расходы в том числе:</t>
  </si>
  <si>
    <t>14.А.</t>
  </si>
  <si>
    <t>14.Б.</t>
  </si>
  <si>
    <t>14.В.</t>
  </si>
  <si>
    <t>14.Д.</t>
  </si>
  <si>
    <t>14.1</t>
  </si>
  <si>
    <t>Повышение квалификации</t>
  </si>
  <si>
    <t>14.2</t>
  </si>
  <si>
    <t>Приобретение огнетушителей</t>
  </si>
  <si>
    <t>14.3</t>
  </si>
  <si>
    <t>установка охранной сигнализации</t>
  </si>
  <si>
    <t>14.4</t>
  </si>
  <si>
    <t>установка мини АТС</t>
  </si>
  <si>
    <t>14.5</t>
  </si>
  <si>
    <t>Аккредитация, лицензирование</t>
  </si>
  <si>
    <t>14.6</t>
  </si>
  <si>
    <t>Командировочные (суточные)</t>
  </si>
  <si>
    <t>14.7</t>
  </si>
  <si>
    <t>услуги СЭС, метролог, осмотр столовой</t>
  </si>
  <si>
    <t>14.8</t>
  </si>
  <si>
    <t>медосмотр</t>
  </si>
  <si>
    <t>14.9</t>
  </si>
  <si>
    <t>обслуживание оргтехнники, заправка картриджей, комплектующие</t>
  </si>
  <si>
    <t>14.10</t>
  </si>
  <si>
    <t>Опрессовка,промывка, поверка весов</t>
  </si>
  <si>
    <t>14.11</t>
  </si>
  <si>
    <t>установка,модернизация пож сигнализации</t>
  </si>
  <si>
    <t>Экспертные услуги по образовательным программам</t>
  </si>
  <si>
    <t>14.12</t>
  </si>
  <si>
    <t>Налоги в бюджет,пени, штрафы</t>
  </si>
  <si>
    <t>14.13.1.</t>
  </si>
  <si>
    <t>Установка программного обеспечения</t>
  </si>
  <si>
    <t>14.14</t>
  </si>
  <si>
    <t>Обеспечение питьевой  водой</t>
  </si>
  <si>
    <t>14.15</t>
  </si>
  <si>
    <t xml:space="preserve">Утилизация ртутных ламп </t>
  </si>
  <si>
    <t>14.16</t>
  </si>
  <si>
    <t>Установка видеонаблюдения, школьного звонка</t>
  </si>
  <si>
    <t>14.17</t>
  </si>
  <si>
    <t>Приобретение учебников, наглядных пособий</t>
  </si>
  <si>
    <t>14.17.1</t>
  </si>
  <si>
    <t>Приобретение учебн.,наглядных пособий (субвенция)</t>
  </si>
  <si>
    <t>14.18</t>
  </si>
  <si>
    <t>Оформление технической документации</t>
  </si>
  <si>
    <t>14.19</t>
  </si>
  <si>
    <t>Обслуживание. Содержание школьной территории</t>
  </si>
  <si>
    <t>Текущий ремонт здания и оборуд</t>
  </si>
  <si>
    <t>15.А.</t>
  </si>
  <si>
    <t>15.В.</t>
  </si>
  <si>
    <t>Капитальный ремонт здания</t>
  </si>
  <si>
    <t>16.А.</t>
  </si>
  <si>
    <t>16.В.</t>
  </si>
  <si>
    <t>Организация летнего отдыха, организация праздника</t>
  </si>
  <si>
    <t>17.А.</t>
  </si>
  <si>
    <t>17.В.</t>
  </si>
  <si>
    <t>Денежные средства на конец периода</t>
  </si>
  <si>
    <t>Директор гимназии</t>
  </si>
  <si>
    <t>/М.А.Федоровская</t>
  </si>
  <si>
    <t>Бухгалтер</t>
  </si>
  <si>
    <t>/Е.В.Григорьева</t>
  </si>
  <si>
    <t xml:space="preserve">          за   ЯНВАРЬ  месяц   2016  года</t>
  </si>
  <si>
    <t>Остаток на 01 января 2016 г</t>
  </si>
  <si>
    <t>обслуживание сайта</t>
  </si>
  <si>
    <t>Остаток на 01 февраля 2016г</t>
  </si>
  <si>
    <t xml:space="preserve">          за   ФЕВРАЛЬ  месяц   2016  года</t>
  </si>
  <si>
    <t>Остаток на 01 февраля 2016 г</t>
  </si>
  <si>
    <t>Остаток на 01 марта 2016г</t>
  </si>
  <si>
    <t>Приобретение оборудования,оргтехник</t>
  </si>
  <si>
    <t>юб</t>
  </si>
  <si>
    <t xml:space="preserve">          за  МАРТ  месяц   2016  года</t>
  </si>
  <si>
    <t>Остаток на 01 март 2016 г</t>
  </si>
  <si>
    <t>Остаток на 01 апреля 2016г</t>
  </si>
  <si>
    <t xml:space="preserve">          за АПРЕЛЬ  месяц   2016  года</t>
  </si>
  <si>
    <t>Остаток на 01 апреля 2016 г</t>
  </si>
  <si>
    <t>Остаток на 01мая 2016г</t>
  </si>
  <si>
    <t xml:space="preserve">          за МАЙ  месяц   2016  года</t>
  </si>
  <si>
    <t>Остаток на 01 мая 2016 г</t>
  </si>
  <si>
    <t>Остаток на 01 июня 2016г</t>
  </si>
  <si>
    <t xml:space="preserve">          за ИЮНЬ  месяц   2016  года</t>
  </si>
  <si>
    <t>Остаток на 01 июня 2016 г</t>
  </si>
  <si>
    <t>Остаток на 01 июля 2016г</t>
  </si>
  <si>
    <t>Остаток на 01 июля 2016 г</t>
  </si>
  <si>
    <t xml:space="preserve">          за ИЮЛЬ  месяц   2016  года</t>
  </si>
  <si>
    <t>Остаток на 01 августа 2016г</t>
  </si>
  <si>
    <t xml:space="preserve">          за АВГУСТ  месяц   2016  года</t>
  </si>
  <si>
    <t>Остаток на 01  сентября 2016г</t>
  </si>
  <si>
    <t>Остаток на 01 августа 2016 г</t>
  </si>
  <si>
    <t xml:space="preserve">          за СЕНТЯБРЬ месяц   2016  года</t>
  </si>
  <si>
    <t>Остаток на 01 сентября 2016 г</t>
  </si>
  <si>
    <t>Остаток на 01 октября 2016г</t>
  </si>
  <si>
    <t xml:space="preserve">          за ОКТЯБРЬ месяц   2016  года</t>
  </si>
  <si>
    <t>Остаток на 01 октября 2016 г</t>
  </si>
  <si>
    <t>Приобретение оборудования,оргтехн</t>
  </si>
  <si>
    <t>Остаток на 01 ноября 2016г</t>
  </si>
  <si>
    <t xml:space="preserve">          за НОЯБРЬ месяц   2016  года</t>
  </si>
  <si>
    <t xml:space="preserve">                 юб</t>
  </si>
  <si>
    <t>Целеые поступления (Церковь,Епархия)</t>
  </si>
  <si>
    <t>Остаток на 01 декабря 2016г</t>
  </si>
  <si>
    <t>Остаток на 01 ноября 2016 г</t>
  </si>
  <si>
    <t xml:space="preserve">          за ДЕКАБРЬ месяц   2016  года</t>
  </si>
  <si>
    <t>Остаток на 01 декабря 2016 г</t>
  </si>
  <si>
    <t>Остаток на 01 января 2017г</t>
  </si>
  <si>
    <t>благот. помощь,добровольное пожертвование</t>
  </si>
  <si>
    <t>по УСН расход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</si>
</sst>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2"/>
      <name val="Lucida Sans Unicode"/>
      <family val="2"/>
    </font>
    <font>
      <sz val="9.5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0.6"/>
      <name val="Times New Roman"/>
      <family val="1"/>
    </font>
    <font>
      <sz val="10.5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Lucida Sans Unicode"/>
      <family val="2"/>
    </font>
    <font>
      <sz val="9"/>
      <name val="Lucida Sans Unicode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7">
    <xf numFmtId="0" fontId="0" fillId="0" borderId="0" xfId="0" applyFont="1" applyAlignment="1">
      <alignment/>
    </xf>
    <xf numFmtId="0" fontId="2" fillId="0" borderId="0" xfId="52" applyFont="1">
      <alignment/>
      <protection/>
    </xf>
    <xf numFmtId="0" fontId="0" fillId="0" borderId="0" xfId="0" applyFont="1" applyAlignment="1">
      <alignment/>
    </xf>
    <xf numFmtId="49" fontId="4" fillId="0" borderId="10" xfId="52" applyNumberFormat="1" applyFont="1" applyBorder="1" applyAlignment="1">
      <alignment vertical="center" wrapText="1"/>
      <protection/>
    </xf>
    <xf numFmtId="2" fontId="4" fillId="33" borderId="10" xfId="55" applyNumberFormat="1" applyFont="1" applyFill="1" applyBorder="1" applyAlignment="1">
      <alignment vertical="center" wrapText="1"/>
      <protection/>
    </xf>
    <xf numFmtId="2" fontId="4" fillId="33" borderId="11" xfId="55" applyNumberFormat="1" applyFont="1" applyFill="1" applyBorder="1" applyAlignment="1">
      <alignment vertical="center" wrapText="1"/>
      <protection/>
    </xf>
    <xf numFmtId="49" fontId="4" fillId="0" borderId="12" xfId="52" applyNumberFormat="1" applyFont="1" applyBorder="1" applyAlignment="1">
      <alignment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4" fontId="4" fillId="0" borderId="10" xfId="55" applyNumberFormat="1" applyFont="1" applyBorder="1" applyAlignment="1">
      <alignment horizontal="center" vertical="center" wrapText="1"/>
      <protection/>
    </xf>
    <xf numFmtId="0" fontId="4" fillId="0" borderId="13" xfId="55" applyFont="1" applyBorder="1" applyAlignment="1">
      <alignment horizontal="center" vertical="center" wrapText="1"/>
      <protection/>
    </xf>
    <xf numFmtId="164" fontId="4" fillId="33" borderId="13" xfId="53" applyNumberFormat="1" applyFont="1" applyFill="1" applyBorder="1" applyAlignment="1">
      <alignment vertical="center" wrapText="1"/>
      <protection/>
    </xf>
    <xf numFmtId="164" fontId="4" fillId="33" borderId="10" xfId="53" applyNumberFormat="1" applyFont="1" applyFill="1" applyBorder="1" applyAlignment="1">
      <alignment horizontal="center" vertical="center" wrapText="1"/>
      <protection/>
    </xf>
    <xf numFmtId="164" fontId="4" fillId="33" borderId="11" xfId="53" applyNumberFormat="1" applyFont="1" applyFill="1" applyBorder="1" applyAlignment="1">
      <alignment vertical="center"/>
      <protection/>
    </xf>
    <xf numFmtId="4" fontId="4" fillId="33" borderId="10" xfId="55" applyNumberFormat="1" applyFont="1" applyFill="1" applyBorder="1" applyAlignment="1">
      <alignment vertical="center" wrapText="1"/>
      <protection/>
    </xf>
    <xf numFmtId="2" fontId="4" fillId="33" borderId="13" xfId="55" applyNumberFormat="1" applyFont="1" applyFill="1" applyBorder="1" applyAlignment="1">
      <alignment vertical="center" wrapText="1"/>
      <protection/>
    </xf>
    <xf numFmtId="2" fontId="4" fillId="33" borderId="14" xfId="55" applyNumberFormat="1" applyFont="1" applyFill="1" applyBorder="1" applyAlignment="1">
      <alignment vertical="center" wrapText="1"/>
      <protection/>
    </xf>
    <xf numFmtId="49" fontId="4" fillId="0" borderId="15" xfId="52" applyNumberFormat="1" applyFont="1" applyBorder="1" applyAlignment="1">
      <alignment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3" fontId="4" fillId="0" borderId="16" xfId="52" applyNumberFormat="1" applyFont="1" applyBorder="1" applyAlignment="1">
      <alignment horizontal="center" vertical="center" wrapText="1"/>
      <protection/>
    </xf>
    <xf numFmtId="0" fontId="4" fillId="0" borderId="17" xfId="55" applyFont="1" applyBorder="1" applyAlignment="1">
      <alignment horizontal="center" vertical="center" wrapText="1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4" fontId="6" fillId="33" borderId="10" xfId="52" applyNumberFormat="1" applyFont="1" applyFill="1" applyBorder="1" applyAlignment="1">
      <alignment horizontal="center" vertical="center" wrapText="1"/>
      <protection/>
    </xf>
    <xf numFmtId="0" fontId="6" fillId="33" borderId="0" xfId="52" applyFont="1" applyFill="1" applyAlignment="1">
      <alignment horizontal="center" vertical="center"/>
      <protection/>
    </xf>
    <xf numFmtId="0" fontId="6" fillId="33" borderId="17" xfId="55" applyFont="1" applyFill="1" applyBorder="1" applyAlignment="1">
      <alignment horizontal="center" vertical="center" wrapText="1"/>
      <protection/>
    </xf>
    <xf numFmtId="0" fontId="6" fillId="33" borderId="10" xfId="55" applyFont="1" applyFill="1" applyBorder="1" applyAlignment="1">
      <alignment horizontal="center" vertical="center" wrapText="1"/>
      <protection/>
    </xf>
    <xf numFmtId="4" fontId="6" fillId="33" borderId="0" xfId="52" applyNumberFormat="1" applyFont="1" applyFill="1" applyAlignment="1">
      <alignment vertical="center" wrapText="1"/>
      <protection/>
    </xf>
    <xf numFmtId="4" fontId="6" fillId="33" borderId="10" xfId="52" applyNumberFormat="1" applyFont="1" applyFill="1" applyBorder="1" applyAlignment="1">
      <alignment vertical="center" wrapText="1"/>
      <protection/>
    </xf>
    <xf numFmtId="4" fontId="6" fillId="33" borderId="11" xfId="52" applyNumberFormat="1" applyFont="1" applyFill="1" applyBorder="1" applyAlignment="1">
      <alignment vertical="center" wrapText="1"/>
      <protection/>
    </xf>
    <xf numFmtId="2" fontId="6" fillId="33" borderId="10" xfId="52" applyNumberFormat="1" applyFont="1" applyFill="1" applyBorder="1" applyAlignment="1">
      <alignment vertical="center" wrapText="1"/>
      <protection/>
    </xf>
    <xf numFmtId="0" fontId="4" fillId="0" borderId="18" xfId="52" applyNumberFormat="1" applyFont="1" applyBorder="1" applyAlignment="1">
      <alignment horizontal="right" vertical="center" wrapText="1"/>
      <protection/>
    </xf>
    <xf numFmtId="4" fontId="4" fillId="33" borderId="10" xfId="53" applyNumberFormat="1" applyFont="1" applyFill="1" applyBorder="1" applyAlignment="1">
      <alignment horizontal="right" vertical="center" wrapText="1"/>
      <protection/>
    </xf>
    <xf numFmtId="4" fontId="4" fillId="33" borderId="11" xfId="52" applyNumberFormat="1" applyFont="1" applyFill="1" applyBorder="1" applyAlignment="1">
      <alignment vertical="center" wrapText="1"/>
      <protection/>
    </xf>
    <xf numFmtId="2" fontId="4" fillId="33" borderId="10" xfId="53" applyNumberFormat="1" applyFont="1" applyFill="1" applyBorder="1" applyAlignment="1">
      <alignment vertical="center" wrapText="1"/>
      <protection/>
    </xf>
    <xf numFmtId="2" fontId="4" fillId="33" borderId="13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Border="1" applyAlignment="1">
      <alignment vertical="center"/>
    </xf>
    <xf numFmtId="4" fontId="4" fillId="33" borderId="10" xfId="52" applyNumberFormat="1" applyFont="1" applyFill="1" applyBorder="1" applyAlignment="1">
      <alignment vertical="center" wrapText="1"/>
      <protection/>
    </xf>
    <xf numFmtId="2" fontId="4" fillId="0" borderId="0" xfId="52" applyNumberFormat="1" applyFont="1">
      <alignment/>
      <protection/>
    </xf>
    <xf numFmtId="0" fontId="4" fillId="0" borderId="19" xfId="52" applyNumberFormat="1" applyFont="1" applyBorder="1" applyAlignment="1">
      <alignment horizontal="right" vertical="center" wrapText="1"/>
      <protection/>
    </xf>
    <xf numFmtId="4" fontId="4" fillId="0" borderId="10" xfId="53" applyNumberFormat="1" applyFont="1" applyFill="1" applyBorder="1" applyAlignment="1">
      <alignment vertical="center" wrapText="1"/>
      <protection/>
    </xf>
    <xf numFmtId="4" fontId="4" fillId="33" borderId="20" xfId="52" applyNumberFormat="1" applyFont="1" applyFill="1" applyBorder="1" applyAlignment="1">
      <alignment vertical="center" wrapText="1"/>
      <protection/>
    </xf>
    <xf numFmtId="0" fontId="4" fillId="0" borderId="21" xfId="52" applyNumberFormat="1" applyFont="1" applyBorder="1" applyAlignment="1">
      <alignment horizontal="right" vertical="center" wrapText="1"/>
      <protection/>
    </xf>
    <xf numFmtId="4" fontId="4" fillId="0" borderId="17" xfId="53" applyNumberFormat="1" applyFont="1" applyFill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right" vertical="center" wrapText="1"/>
      <protection/>
    </xf>
    <xf numFmtId="4" fontId="7" fillId="0" borderId="11" xfId="53" applyNumberFormat="1" applyFont="1" applyFill="1" applyBorder="1" applyAlignment="1">
      <alignment vertical="center" wrapText="1"/>
      <protection/>
    </xf>
    <xf numFmtId="4" fontId="4" fillId="33" borderId="10" xfId="53" applyNumberFormat="1" applyFont="1" applyFill="1" applyBorder="1" applyAlignment="1">
      <alignment vertical="center" wrapText="1"/>
      <protection/>
    </xf>
    <xf numFmtId="2" fontId="4" fillId="33" borderId="10" xfId="52" applyNumberFormat="1" applyFont="1" applyFill="1" applyBorder="1" applyAlignment="1">
      <alignment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3" fontId="4" fillId="0" borderId="17" xfId="55" applyNumberFormat="1" applyFont="1" applyBorder="1" applyAlignment="1">
      <alignment horizontal="center" vertical="center" wrapText="1"/>
      <protection/>
    </xf>
    <xf numFmtId="4" fontId="6" fillId="33" borderId="10" xfId="52" applyNumberFormat="1" applyFont="1" applyFill="1" applyBorder="1" applyAlignment="1">
      <alignment horizontal="right" vertical="center" wrapText="1"/>
      <protection/>
    </xf>
    <xf numFmtId="2" fontId="6" fillId="0" borderId="10" xfId="52" applyNumberFormat="1" applyFont="1" applyBorder="1" applyAlignment="1">
      <alignment horizontal="right" vertical="center" wrapText="1"/>
      <protection/>
    </xf>
    <xf numFmtId="49" fontId="6" fillId="0" borderId="10" xfId="53" applyNumberFormat="1" applyFont="1" applyBorder="1" applyAlignment="1">
      <alignment horizontal="right"/>
      <protection/>
    </xf>
    <xf numFmtId="4" fontId="6" fillId="33" borderId="11" xfId="53" applyNumberFormat="1" applyFont="1" applyFill="1" applyBorder="1" applyAlignment="1">
      <alignment vertical="center" wrapText="1"/>
      <protection/>
    </xf>
    <xf numFmtId="4" fontId="6" fillId="33" borderId="10" xfId="53" applyNumberFormat="1" applyFont="1" applyFill="1" applyBorder="1" applyAlignment="1">
      <alignment vertical="center" wrapText="1"/>
      <protection/>
    </xf>
    <xf numFmtId="2" fontId="6" fillId="33" borderId="10" xfId="52" applyNumberFormat="1" applyFont="1" applyFill="1" applyBorder="1" applyAlignment="1">
      <alignment horizontal="right" vertical="center" wrapText="1"/>
      <protection/>
    </xf>
    <xf numFmtId="2" fontId="6" fillId="33" borderId="10" xfId="53" applyNumberFormat="1" applyFont="1" applyFill="1" applyBorder="1" applyAlignment="1">
      <alignment vertical="center" wrapText="1"/>
      <protection/>
    </xf>
    <xf numFmtId="2" fontId="6" fillId="33" borderId="13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/>
    </xf>
    <xf numFmtId="2" fontId="6" fillId="34" borderId="11" xfId="53" applyNumberFormat="1" applyFont="1" applyFill="1" applyBorder="1" applyAlignment="1">
      <alignment vertical="center" wrapText="1"/>
      <protection/>
    </xf>
    <xf numFmtId="2" fontId="6" fillId="34" borderId="10" xfId="53" applyNumberFormat="1" applyFont="1" applyFill="1" applyBorder="1" applyAlignment="1">
      <alignment vertical="center" wrapText="1"/>
      <protection/>
    </xf>
    <xf numFmtId="49" fontId="4" fillId="0" borderId="10" xfId="53" applyNumberFormat="1" applyFont="1" applyBorder="1" applyAlignment="1">
      <alignment horizontal="right"/>
      <protection/>
    </xf>
    <xf numFmtId="4" fontId="4" fillId="0" borderId="11" xfId="54" applyNumberFormat="1" applyFont="1" applyBorder="1" applyAlignment="1">
      <alignment wrapText="1"/>
      <protection/>
    </xf>
    <xf numFmtId="2" fontId="4" fillId="33" borderId="10" xfId="52" applyNumberFormat="1" applyFont="1" applyFill="1" applyBorder="1" applyAlignment="1">
      <alignment horizontal="right" vertical="center" wrapText="1"/>
      <protection/>
    </xf>
    <xf numFmtId="2" fontId="4" fillId="0" borderId="10" xfId="0" applyNumberFormat="1" applyFont="1" applyBorder="1" applyAlignment="1">
      <alignment/>
    </xf>
    <xf numFmtId="2" fontId="4" fillId="34" borderId="11" xfId="53" applyNumberFormat="1" applyFont="1" applyFill="1" applyBorder="1" applyAlignment="1">
      <alignment vertical="center" wrapText="1"/>
      <protection/>
    </xf>
    <xf numFmtId="2" fontId="4" fillId="34" borderId="10" xfId="53" applyNumberFormat="1" applyFont="1" applyFill="1" applyBorder="1" applyAlignment="1">
      <alignment vertical="center" wrapText="1"/>
      <protection/>
    </xf>
    <xf numFmtId="0" fontId="4" fillId="34" borderId="11" xfId="53" applyFont="1" applyFill="1" applyBorder="1" applyAlignment="1">
      <alignment wrapText="1"/>
      <protection/>
    </xf>
    <xf numFmtId="2" fontId="4" fillId="33" borderId="13" xfId="52" applyNumberFormat="1" applyFont="1" applyFill="1" applyBorder="1" applyAlignment="1">
      <alignment horizontal="right" vertical="center" wrapText="1"/>
      <protection/>
    </xf>
    <xf numFmtId="2" fontId="4" fillId="0" borderId="10" xfId="52" applyNumberFormat="1" applyFont="1" applyBorder="1" applyAlignment="1">
      <alignment horizontal="right" vertical="center"/>
      <protection/>
    </xf>
    <xf numFmtId="49" fontId="6" fillId="0" borderId="10" xfId="53" applyNumberFormat="1" applyFont="1" applyBorder="1" applyAlignment="1">
      <alignment horizontal="right" vertical="center"/>
      <protection/>
    </xf>
    <xf numFmtId="2" fontId="6" fillId="0" borderId="10" xfId="0" applyNumberFormat="1" applyFont="1" applyBorder="1" applyAlignment="1">
      <alignment vertical="center"/>
    </xf>
    <xf numFmtId="4" fontId="2" fillId="0" borderId="0" xfId="52" applyNumberFormat="1" applyFont="1">
      <alignment/>
      <protection/>
    </xf>
    <xf numFmtId="2" fontId="4" fillId="0" borderId="10" xfId="52" applyNumberFormat="1" applyFont="1" applyBorder="1">
      <alignment/>
      <protection/>
    </xf>
    <xf numFmtId="4" fontId="6" fillId="33" borderId="10" xfId="53" applyNumberFormat="1" applyFont="1" applyFill="1" applyBorder="1" applyAlignment="1">
      <alignment horizontal="right" vertical="center" wrapText="1"/>
      <protection/>
    </xf>
    <xf numFmtId="2" fontId="4" fillId="33" borderId="10" xfId="53" applyNumberFormat="1" applyFont="1" applyFill="1" applyBorder="1" applyAlignment="1">
      <alignment horizontal="right" vertical="center" wrapText="1"/>
      <protection/>
    </xf>
    <xf numFmtId="2" fontId="6" fillId="33" borderId="10" xfId="53" applyNumberFormat="1" applyFont="1" applyFill="1" applyBorder="1" applyAlignment="1">
      <alignment horizontal="right" vertical="center" wrapText="1"/>
      <protection/>
    </xf>
    <xf numFmtId="0" fontId="4" fillId="0" borderId="11" xfId="54" applyFont="1" applyBorder="1" applyAlignment="1">
      <alignment wrapText="1"/>
      <protection/>
    </xf>
    <xf numFmtId="0" fontId="4" fillId="34" borderId="13" xfId="53" applyFont="1" applyFill="1" applyBorder="1" applyAlignment="1">
      <alignment/>
      <protection/>
    </xf>
    <xf numFmtId="0" fontId="4" fillId="0" borderId="22" xfId="54" applyFont="1" applyBorder="1" applyAlignment="1">
      <alignment/>
      <protection/>
    </xf>
    <xf numFmtId="0" fontId="4" fillId="0" borderId="10" xfId="54" applyFont="1" applyBorder="1" applyAlignment="1">
      <alignment wrapText="1"/>
      <protection/>
    </xf>
    <xf numFmtId="2" fontId="2" fillId="0" borderId="0" xfId="52" applyNumberFormat="1" applyFont="1">
      <alignment/>
      <protection/>
    </xf>
    <xf numFmtId="4" fontId="4" fillId="0" borderId="11" xfId="54" applyNumberFormat="1" applyFont="1" applyBorder="1" applyAlignment="1">
      <alignment/>
      <protection/>
    </xf>
    <xf numFmtId="4" fontId="4" fillId="0" borderId="10" xfId="54" applyNumberFormat="1" applyFont="1" applyBorder="1" applyAlignment="1">
      <alignment wrapText="1"/>
      <protection/>
    </xf>
    <xf numFmtId="2" fontId="51" fillId="0" borderId="10" xfId="0" applyNumberFormat="1" applyFont="1" applyBorder="1" applyAlignment="1">
      <alignment/>
    </xf>
    <xf numFmtId="2" fontId="9" fillId="33" borderId="10" xfId="53" applyNumberFormat="1" applyFont="1" applyFill="1" applyBorder="1" applyAlignment="1">
      <alignment horizontal="right" vertical="center" wrapText="1"/>
      <protection/>
    </xf>
    <xf numFmtId="2" fontId="51" fillId="0" borderId="0" xfId="0" applyNumberFormat="1" applyFont="1" applyAlignment="1">
      <alignment/>
    </xf>
    <xf numFmtId="49" fontId="6" fillId="0" borderId="10" xfId="53" applyNumberFormat="1" applyFont="1" applyBorder="1" applyAlignment="1">
      <alignment horizontal="center" vertical="center"/>
      <protection/>
    </xf>
    <xf numFmtId="49" fontId="6" fillId="0" borderId="10" xfId="52" applyNumberFormat="1" applyFont="1" applyBorder="1" applyAlignment="1">
      <alignment horizontal="right" vertical="center" wrapText="1"/>
      <protection/>
    </xf>
    <xf numFmtId="0" fontId="4" fillId="0" borderId="11" xfId="54" applyFont="1" applyBorder="1" applyAlignment="1">
      <alignment/>
      <protection/>
    </xf>
    <xf numFmtId="2" fontId="4" fillId="33" borderId="15" xfId="53" applyNumberFormat="1" applyFont="1" applyFill="1" applyBorder="1" applyAlignment="1">
      <alignment horizontal="right" vertical="center" wrapText="1"/>
      <protection/>
    </xf>
    <xf numFmtId="2" fontId="4" fillId="33" borderId="23" xfId="53" applyNumberFormat="1" applyFont="1" applyFill="1" applyBorder="1" applyAlignment="1">
      <alignment vertical="center" wrapText="1"/>
      <protection/>
    </xf>
    <xf numFmtId="2" fontId="4" fillId="33" borderId="15" xfId="53" applyNumberFormat="1" applyFont="1" applyFill="1" applyBorder="1" applyAlignment="1">
      <alignment vertical="center" wrapText="1"/>
      <protection/>
    </xf>
    <xf numFmtId="2" fontId="4" fillId="33" borderId="22" xfId="53" applyNumberFormat="1" applyFont="1" applyFill="1" applyBorder="1" applyAlignment="1">
      <alignment vertical="center" wrapText="1"/>
      <protection/>
    </xf>
    <xf numFmtId="4" fontId="6" fillId="33" borderId="13" xfId="53" applyNumberFormat="1" applyFont="1" applyFill="1" applyBorder="1" applyAlignment="1">
      <alignment vertical="center" wrapText="1"/>
      <protection/>
    </xf>
    <xf numFmtId="4" fontId="4" fillId="33" borderId="13" xfId="53" applyNumberFormat="1" applyFont="1" applyFill="1" applyBorder="1" applyAlignment="1">
      <alignment vertical="center" wrapText="1"/>
      <protection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9" fontId="4" fillId="0" borderId="15" xfId="53" applyNumberFormat="1" applyFont="1" applyBorder="1" applyAlignment="1">
      <alignment horizontal="right"/>
      <protection/>
    </xf>
    <xf numFmtId="49" fontId="4" fillId="0" borderId="24" xfId="53" applyNumberFormat="1" applyFont="1" applyBorder="1" applyAlignment="1">
      <alignment horizontal="right"/>
      <protection/>
    </xf>
    <xf numFmtId="49" fontId="4" fillId="0" borderId="25" xfId="53" applyNumberFormat="1" applyFont="1" applyBorder="1" applyAlignment="1">
      <alignment horizontal="right"/>
      <protection/>
    </xf>
    <xf numFmtId="49" fontId="4" fillId="0" borderId="12" xfId="53" applyNumberFormat="1" applyFont="1" applyBorder="1" applyAlignment="1">
      <alignment horizontal="right"/>
      <protection/>
    </xf>
    <xf numFmtId="49" fontId="4" fillId="0" borderId="17" xfId="52" applyNumberFormat="1" applyFont="1" applyBorder="1" applyAlignment="1">
      <alignment vertical="center" wrapText="1"/>
      <protection/>
    </xf>
    <xf numFmtId="0" fontId="9" fillId="0" borderId="11" xfId="52" applyFont="1" applyBorder="1" applyAlignment="1">
      <alignment horizontal="center" vertical="center" wrapText="1"/>
      <protection/>
    </xf>
    <xf numFmtId="0" fontId="13" fillId="0" borderId="10" xfId="55" applyFont="1" applyBorder="1" applyAlignment="1">
      <alignment horizontal="center" vertical="center" wrapText="1"/>
      <protection/>
    </xf>
    <xf numFmtId="4" fontId="9" fillId="0" borderId="10" xfId="55" applyNumberFormat="1" applyFont="1" applyBorder="1" applyAlignment="1">
      <alignment horizontal="center" vertical="center" wrapText="1"/>
      <protection/>
    </xf>
    <xf numFmtId="0" fontId="4" fillId="0" borderId="26" xfId="52" applyFont="1" applyBorder="1" applyAlignment="1">
      <alignment vertical="center" wrapText="1"/>
      <protection/>
    </xf>
    <xf numFmtId="49" fontId="12" fillId="0" borderId="15" xfId="52" applyNumberFormat="1" applyFont="1" applyBorder="1" applyAlignment="1">
      <alignment horizontal="right" vertical="center" wrapText="1"/>
      <protection/>
    </xf>
    <xf numFmtId="49" fontId="12" fillId="0" borderId="27" xfId="52" applyNumberFormat="1" applyFont="1" applyBorder="1" applyAlignment="1">
      <alignment horizontal="right" vertical="center" wrapText="1"/>
      <protection/>
    </xf>
    <xf numFmtId="49" fontId="4" fillId="0" borderId="10" xfId="52" applyNumberFormat="1" applyFont="1" applyBorder="1" applyAlignment="1">
      <alignment horizontal="right" vertical="center" wrapText="1"/>
      <protection/>
    </xf>
    <xf numFmtId="49" fontId="4" fillId="0" borderId="28" xfId="52" applyNumberFormat="1" applyFont="1" applyBorder="1" applyAlignment="1">
      <alignment horizontal="right" vertical="center" wrapText="1"/>
      <protection/>
    </xf>
    <xf numFmtId="0" fontId="6" fillId="0" borderId="28" xfId="52" applyFont="1" applyBorder="1">
      <alignment/>
      <protection/>
    </xf>
    <xf numFmtId="0" fontId="6" fillId="0" borderId="29" xfId="52" applyFont="1" applyBorder="1">
      <alignment/>
      <protection/>
    </xf>
    <xf numFmtId="0" fontId="4" fillId="0" borderId="28" xfId="52" applyFont="1" applyBorder="1">
      <alignment/>
      <protection/>
    </xf>
    <xf numFmtId="0" fontId="4" fillId="0" borderId="10" xfId="55" applyFont="1" applyBorder="1" applyAlignment="1">
      <alignment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4" fillId="0" borderId="15" xfId="55" applyFont="1" applyBorder="1" applyAlignment="1">
      <alignment vertical="center" wrapText="1"/>
      <protection/>
    </xf>
    <xf numFmtId="0" fontId="4" fillId="0" borderId="30" xfId="55" applyFont="1" applyBorder="1" applyAlignment="1">
      <alignment vertical="center" wrapText="1"/>
      <protection/>
    </xf>
    <xf numFmtId="0" fontId="4" fillId="0" borderId="15" xfId="55" applyFont="1" applyBorder="1" applyAlignment="1">
      <alignment horizontal="center" vertical="center" wrapText="1"/>
      <protection/>
    </xf>
    <xf numFmtId="0" fontId="4" fillId="0" borderId="29" xfId="52" applyFont="1" applyBorder="1">
      <alignment/>
      <protection/>
    </xf>
    <xf numFmtId="2" fontId="4" fillId="33" borderId="16" xfId="55" applyNumberFormat="1" applyFont="1" applyFill="1" applyBorder="1" applyAlignment="1">
      <alignment vertical="center" wrapText="1"/>
      <protection/>
    </xf>
    <xf numFmtId="4" fontId="4" fillId="33" borderId="11" xfId="55" applyNumberFormat="1" applyFont="1" applyFill="1" applyBorder="1" applyAlignment="1">
      <alignment vertical="center" wrapText="1"/>
      <protection/>
    </xf>
    <xf numFmtId="0" fontId="4" fillId="0" borderId="10" xfId="52" applyFont="1" applyBorder="1">
      <alignment/>
      <protection/>
    </xf>
    <xf numFmtId="0" fontId="4" fillId="0" borderId="27" xfId="52" applyFont="1" applyBorder="1">
      <alignment/>
      <protection/>
    </xf>
    <xf numFmtId="2" fontId="4" fillId="33" borderId="17" xfId="55" applyNumberFormat="1" applyFont="1" applyFill="1" applyBorder="1" applyAlignment="1">
      <alignment vertical="center" wrapText="1"/>
      <protection/>
    </xf>
    <xf numFmtId="0" fontId="4" fillId="0" borderId="0" xfId="55" applyFont="1" applyBorder="1" applyAlignment="1">
      <alignment vertical="center" wrapText="1"/>
      <protection/>
    </xf>
    <xf numFmtId="0" fontId="4" fillId="33" borderId="0" xfId="55" applyFont="1" applyFill="1" applyBorder="1" applyAlignment="1">
      <alignment vertical="center" wrapText="1"/>
      <protection/>
    </xf>
    <xf numFmtId="4" fontId="4" fillId="33" borderId="0" xfId="55" applyNumberFormat="1" applyFont="1" applyFill="1" applyBorder="1" applyAlignment="1">
      <alignment vertical="center" wrapText="1"/>
      <protection/>
    </xf>
    <xf numFmtId="0" fontId="4" fillId="33" borderId="23" xfId="55" applyFont="1" applyFill="1" applyBorder="1" applyAlignment="1">
      <alignment vertical="center" wrapText="1"/>
      <protection/>
    </xf>
    <xf numFmtId="2" fontId="4" fillId="33" borderId="23" xfId="55" applyNumberFormat="1" applyFont="1" applyFill="1" applyBorder="1" applyAlignment="1">
      <alignment vertical="center" wrapText="1"/>
      <protection/>
    </xf>
    <xf numFmtId="0" fontId="4" fillId="0" borderId="0" xfId="52" applyFont="1" applyAlignment="1">
      <alignment vertical="center" wrapText="1"/>
      <protection/>
    </xf>
    <xf numFmtId="2" fontId="4" fillId="0" borderId="0" xfId="52" applyNumberFormat="1" applyFont="1" applyAlignment="1">
      <alignment vertical="center" wrapText="1"/>
      <protection/>
    </xf>
    <xf numFmtId="4" fontId="4" fillId="0" borderId="0" xfId="52" applyNumberFormat="1" applyFont="1" applyAlignment="1">
      <alignment vertical="center" wrapText="1"/>
      <protection/>
    </xf>
    <xf numFmtId="0" fontId="14" fillId="0" borderId="0" xfId="52" applyFont="1">
      <alignment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vertical="center" wrapText="1"/>
      <protection/>
    </xf>
    <xf numFmtId="0" fontId="4" fillId="0" borderId="13" xfId="55" applyFont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2" fontId="4" fillId="33" borderId="13" xfId="55" applyNumberFormat="1" applyFont="1" applyFill="1" applyBorder="1" applyAlignment="1">
      <alignment vertical="center" wrapText="1"/>
      <protection/>
    </xf>
    <xf numFmtId="2" fontId="4" fillId="33" borderId="11" xfId="55" applyNumberFormat="1" applyFont="1" applyFill="1" applyBorder="1" applyAlignment="1">
      <alignment vertical="center" wrapText="1"/>
      <protection/>
    </xf>
    <xf numFmtId="0" fontId="4" fillId="0" borderId="15" xfId="55" applyFont="1" applyBorder="1" applyAlignment="1">
      <alignment horizontal="center" vertical="center" wrapText="1"/>
      <protection/>
    </xf>
    <xf numFmtId="0" fontId="4" fillId="0" borderId="17" xfId="55" applyFont="1" applyBorder="1" applyAlignment="1">
      <alignment horizontal="center" vertical="center" wrapText="1"/>
      <protection/>
    </xf>
    <xf numFmtId="164" fontId="4" fillId="33" borderId="13" xfId="53" applyNumberFormat="1" applyFont="1" applyFill="1" applyBorder="1" applyAlignment="1">
      <alignment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4" fontId="4" fillId="33" borderId="11" xfId="52" applyNumberFormat="1" applyFont="1" applyFill="1" applyBorder="1" applyAlignment="1">
      <alignment vertical="center" wrapText="1"/>
      <protection/>
    </xf>
    <xf numFmtId="49" fontId="4" fillId="0" borderId="15" xfId="52" applyNumberFormat="1" applyFont="1" applyBorder="1" applyAlignment="1">
      <alignment vertical="center" wrapText="1"/>
      <protection/>
    </xf>
    <xf numFmtId="49" fontId="4" fillId="0" borderId="17" xfId="52" applyNumberFormat="1" applyFont="1" applyBorder="1" applyAlignment="1">
      <alignment vertical="center" wrapText="1"/>
      <protection/>
    </xf>
    <xf numFmtId="4" fontId="6" fillId="33" borderId="11" xfId="52" applyNumberFormat="1" applyFont="1" applyFill="1" applyBorder="1" applyAlignment="1">
      <alignment vertical="center" wrapText="1"/>
      <protection/>
    </xf>
    <xf numFmtId="3" fontId="4" fillId="33" borderId="15" xfId="53" applyNumberFormat="1" applyFont="1" applyFill="1" applyBorder="1" applyAlignment="1">
      <alignment vertical="center" wrapText="1"/>
      <protection/>
    </xf>
    <xf numFmtId="3" fontId="4" fillId="33" borderId="10" xfId="53" applyNumberFormat="1" applyFont="1" applyFill="1" applyBorder="1" applyAlignment="1">
      <alignment vertical="center" wrapText="1"/>
      <protection/>
    </xf>
    <xf numFmtId="3" fontId="4" fillId="34" borderId="17" xfId="53" applyNumberFormat="1" applyFont="1" applyFill="1" applyBorder="1" applyAlignment="1">
      <alignment/>
      <protection/>
    </xf>
    <xf numFmtId="3" fontId="15" fillId="34" borderId="17" xfId="53" applyNumberFormat="1" applyFont="1" applyFill="1" applyBorder="1" applyAlignment="1">
      <alignment/>
      <protection/>
    </xf>
    <xf numFmtId="3" fontId="16" fillId="34" borderId="10" xfId="53" applyNumberFormat="1" applyFont="1" applyFill="1" applyBorder="1" applyAlignment="1">
      <alignment/>
      <protection/>
    </xf>
    <xf numFmtId="3" fontId="15" fillId="34" borderId="10" xfId="53" applyNumberFormat="1" applyFont="1" applyFill="1" applyBorder="1" applyAlignment="1">
      <alignment/>
      <protection/>
    </xf>
    <xf numFmtId="3" fontId="16" fillId="0" borderId="10" xfId="53" applyNumberFormat="1" applyFont="1" applyFill="1" applyBorder="1" applyAlignment="1">
      <alignment vertical="center"/>
      <protection/>
    </xf>
    <xf numFmtId="4" fontId="4" fillId="0" borderId="11" xfId="54" applyNumberFormat="1" applyFont="1" applyBorder="1" applyAlignment="1">
      <alignment vertical="center" wrapText="1"/>
      <protection/>
    </xf>
    <xf numFmtId="3" fontId="16" fillId="34" borderId="10" xfId="53" applyNumberFormat="1" applyFont="1" applyFill="1" applyBorder="1" applyAlignment="1">
      <alignment vertical="center"/>
      <protection/>
    </xf>
    <xf numFmtId="4" fontId="13" fillId="33" borderId="10" xfId="53" applyNumberFormat="1" applyFont="1" applyFill="1" applyBorder="1" applyAlignment="1">
      <alignment horizontal="right" vertical="center" wrapText="1"/>
      <protection/>
    </xf>
    <xf numFmtId="2" fontId="6" fillId="0" borderId="10" xfId="0" applyNumberFormat="1" applyFont="1" applyBorder="1" applyAlignment="1">
      <alignment horizontal="right" vertical="center"/>
    </xf>
    <xf numFmtId="2" fontId="4" fillId="33" borderId="13" xfId="55" applyNumberFormat="1" applyFont="1" applyFill="1" applyBorder="1" applyAlignment="1">
      <alignment vertical="center" wrapText="1"/>
      <protection/>
    </xf>
    <xf numFmtId="2" fontId="4" fillId="33" borderId="11" xfId="55" applyNumberFormat="1" applyFont="1" applyFill="1" applyBorder="1" applyAlignment="1">
      <alignment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3" xfId="55" applyFont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4" fillId="0" borderId="15" xfId="55" applyFont="1" applyBorder="1" applyAlignment="1">
      <alignment horizontal="center" vertical="center" wrapText="1"/>
      <protection/>
    </xf>
    <xf numFmtId="0" fontId="4" fillId="0" borderId="17" xfId="55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49" fontId="4" fillId="0" borderId="15" xfId="52" applyNumberFormat="1" applyFont="1" applyBorder="1" applyAlignment="1">
      <alignment vertical="center" wrapText="1"/>
      <protection/>
    </xf>
    <xf numFmtId="49" fontId="4" fillId="0" borderId="17" xfId="52" applyNumberFormat="1" applyFont="1" applyBorder="1" applyAlignment="1">
      <alignment vertical="center" wrapText="1"/>
      <protection/>
    </xf>
    <xf numFmtId="4" fontId="6" fillId="33" borderId="11" xfId="52" applyNumberFormat="1" applyFont="1" applyFill="1" applyBorder="1" applyAlignment="1">
      <alignment vertical="center" wrapText="1"/>
      <protection/>
    </xf>
    <xf numFmtId="4" fontId="4" fillId="33" borderId="11" xfId="52" applyNumberFormat="1" applyFont="1" applyFill="1" applyBorder="1" applyAlignment="1">
      <alignment vertical="center" wrapText="1"/>
      <protection/>
    </xf>
    <xf numFmtId="164" fontId="4" fillId="33" borderId="13" xfId="53" applyNumberFormat="1" applyFont="1" applyFill="1" applyBorder="1" applyAlignment="1">
      <alignment vertical="center" wrapText="1"/>
      <protection/>
    </xf>
    <xf numFmtId="0" fontId="4" fillId="0" borderId="0" xfId="52" applyFont="1" applyAlignment="1">
      <alignment vertical="center" wrapText="1"/>
      <protection/>
    </xf>
    <xf numFmtId="0" fontId="4" fillId="0" borderId="0" xfId="52" applyFont="1" applyAlignment="1">
      <alignment vertical="center" wrapText="1"/>
      <protection/>
    </xf>
    <xf numFmtId="0" fontId="4" fillId="0" borderId="13" xfId="55" applyFont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2" fontId="4" fillId="33" borderId="13" xfId="55" applyNumberFormat="1" applyFont="1" applyFill="1" applyBorder="1" applyAlignment="1">
      <alignment vertical="center" wrapText="1"/>
      <protection/>
    </xf>
    <xf numFmtId="2" fontId="4" fillId="33" borderId="11" xfId="55" applyNumberFormat="1" applyFont="1" applyFill="1" applyBorder="1" applyAlignment="1">
      <alignment vertical="center" wrapText="1"/>
      <protection/>
    </xf>
    <xf numFmtId="0" fontId="4" fillId="0" borderId="15" xfId="55" applyFont="1" applyBorder="1" applyAlignment="1">
      <alignment horizontal="center" vertical="center" wrapText="1"/>
      <protection/>
    </xf>
    <xf numFmtId="0" fontId="4" fillId="0" borderId="17" xfId="55" applyFont="1" applyBorder="1" applyAlignment="1">
      <alignment horizontal="center" vertical="center" wrapText="1"/>
      <protection/>
    </xf>
    <xf numFmtId="164" fontId="4" fillId="33" borderId="13" xfId="53" applyNumberFormat="1" applyFont="1" applyFill="1" applyBorder="1" applyAlignment="1">
      <alignment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4" fontId="4" fillId="33" borderId="11" xfId="52" applyNumberFormat="1" applyFont="1" applyFill="1" applyBorder="1" applyAlignment="1">
      <alignment vertical="center" wrapText="1"/>
      <protection/>
    </xf>
    <xf numFmtId="49" fontId="4" fillId="0" borderId="15" xfId="52" applyNumberFormat="1" applyFont="1" applyBorder="1" applyAlignment="1">
      <alignment vertical="center" wrapText="1"/>
      <protection/>
    </xf>
    <xf numFmtId="49" fontId="4" fillId="0" borderId="17" xfId="52" applyNumberFormat="1" applyFont="1" applyBorder="1" applyAlignment="1">
      <alignment vertical="center" wrapText="1"/>
      <protection/>
    </xf>
    <xf numFmtId="4" fontId="6" fillId="33" borderId="11" xfId="52" applyNumberFormat="1" applyFont="1" applyFill="1" applyBorder="1" applyAlignment="1">
      <alignment vertical="center" wrapText="1"/>
      <protection/>
    </xf>
    <xf numFmtId="3" fontId="4" fillId="34" borderId="17" xfId="53" applyNumberFormat="1" applyFont="1" applyFill="1" applyBorder="1" applyAlignment="1">
      <alignment vertical="center"/>
      <protection/>
    </xf>
    <xf numFmtId="3" fontId="15" fillId="34" borderId="17" xfId="53" applyNumberFormat="1" applyFont="1" applyFill="1" applyBorder="1" applyAlignment="1">
      <alignment vertical="center"/>
      <protection/>
    </xf>
    <xf numFmtId="2" fontId="4" fillId="33" borderId="13" xfId="55" applyNumberFormat="1" applyFont="1" applyFill="1" applyBorder="1" applyAlignment="1">
      <alignment vertical="center" wrapText="1"/>
      <protection/>
    </xf>
    <xf numFmtId="2" fontId="4" fillId="33" borderId="11" xfId="55" applyNumberFormat="1" applyFont="1" applyFill="1" applyBorder="1" applyAlignment="1">
      <alignment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3" xfId="55" applyFont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4" fillId="0" borderId="15" xfId="55" applyFont="1" applyBorder="1" applyAlignment="1">
      <alignment horizontal="center" vertical="center" wrapText="1"/>
      <protection/>
    </xf>
    <xf numFmtId="0" fontId="4" fillId="0" borderId="17" xfId="55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49" fontId="4" fillId="0" borderId="15" xfId="52" applyNumberFormat="1" applyFont="1" applyBorder="1" applyAlignment="1">
      <alignment vertical="center" wrapText="1"/>
      <protection/>
    </xf>
    <xf numFmtId="49" fontId="4" fillId="0" borderId="17" xfId="52" applyNumberFormat="1" applyFont="1" applyBorder="1" applyAlignment="1">
      <alignment vertical="center" wrapText="1"/>
      <protection/>
    </xf>
    <xf numFmtId="4" fontId="6" fillId="33" borderId="11" xfId="52" applyNumberFormat="1" applyFont="1" applyFill="1" applyBorder="1" applyAlignment="1">
      <alignment vertical="center" wrapText="1"/>
      <protection/>
    </xf>
    <xf numFmtId="4" fontId="4" fillId="33" borderId="11" xfId="52" applyNumberFormat="1" applyFont="1" applyFill="1" applyBorder="1" applyAlignment="1">
      <alignment vertical="center" wrapText="1"/>
      <protection/>
    </xf>
    <xf numFmtId="164" fontId="4" fillId="33" borderId="13" xfId="53" applyNumberFormat="1" applyFont="1" applyFill="1" applyBorder="1" applyAlignment="1">
      <alignment vertical="center" wrapText="1"/>
      <protection/>
    </xf>
    <xf numFmtId="0" fontId="4" fillId="0" borderId="0" xfId="52" applyFont="1" applyAlignment="1">
      <alignment vertical="center" wrapText="1"/>
      <protection/>
    </xf>
    <xf numFmtId="0" fontId="4" fillId="0" borderId="0" xfId="52" applyFont="1" applyAlignment="1">
      <alignment vertical="center" wrapText="1"/>
      <protection/>
    </xf>
    <xf numFmtId="0" fontId="4" fillId="0" borderId="13" xfId="55" applyFont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2" fontId="4" fillId="33" borderId="13" xfId="55" applyNumberFormat="1" applyFont="1" applyFill="1" applyBorder="1" applyAlignment="1">
      <alignment vertical="center" wrapText="1"/>
      <protection/>
    </xf>
    <xf numFmtId="2" fontId="4" fillId="33" borderId="11" xfId="55" applyNumberFormat="1" applyFont="1" applyFill="1" applyBorder="1" applyAlignment="1">
      <alignment vertical="center" wrapText="1"/>
      <protection/>
    </xf>
    <xf numFmtId="0" fontId="4" fillId="0" borderId="15" xfId="55" applyFont="1" applyBorder="1" applyAlignment="1">
      <alignment horizontal="center" vertical="center" wrapText="1"/>
      <protection/>
    </xf>
    <xf numFmtId="0" fontId="4" fillId="0" borderId="17" xfId="55" applyFont="1" applyBorder="1" applyAlignment="1">
      <alignment horizontal="center" vertical="center" wrapText="1"/>
      <protection/>
    </xf>
    <xf numFmtId="164" fontId="4" fillId="33" borderId="13" xfId="53" applyNumberFormat="1" applyFont="1" applyFill="1" applyBorder="1" applyAlignment="1">
      <alignment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4" fontId="4" fillId="33" borderId="11" xfId="52" applyNumberFormat="1" applyFont="1" applyFill="1" applyBorder="1" applyAlignment="1">
      <alignment vertical="center" wrapText="1"/>
      <protection/>
    </xf>
    <xf numFmtId="49" fontId="4" fillId="0" borderId="15" xfId="52" applyNumberFormat="1" applyFont="1" applyBorder="1" applyAlignment="1">
      <alignment vertical="center" wrapText="1"/>
      <protection/>
    </xf>
    <xf numFmtId="49" fontId="4" fillId="0" borderId="17" xfId="52" applyNumberFormat="1" applyFont="1" applyBorder="1" applyAlignment="1">
      <alignment vertical="center" wrapText="1"/>
      <protection/>
    </xf>
    <xf numFmtId="4" fontId="6" fillId="33" borderId="11" xfId="52" applyNumberFormat="1" applyFont="1" applyFill="1" applyBorder="1" applyAlignment="1">
      <alignment vertical="center" wrapText="1"/>
      <protection/>
    </xf>
    <xf numFmtId="0" fontId="4" fillId="0" borderId="0" xfId="52" applyFont="1" applyAlignment="1">
      <alignment vertical="center" wrapText="1"/>
      <protection/>
    </xf>
    <xf numFmtId="0" fontId="4" fillId="0" borderId="13" xfId="55" applyFont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2" fontId="4" fillId="33" borderId="13" xfId="55" applyNumberFormat="1" applyFont="1" applyFill="1" applyBorder="1" applyAlignment="1">
      <alignment vertical="center" wrapText="1"/>
      <protection/>
    </xf>
    <xf numFmtId="2" fontId="4" fillId="33" borderId="11" xfId="55" applyNumberFormat="1" applyFont="1" applyFill="1" applyBorder="1" applyAlignment="1">
      <alignment vertical="center" wrapText="1"/>
      <protection/>
    </xf>
    <xf numFmtId="0" fontId="4" fillId="0" borderId="15" xfId="55" applyFont="1" applyBorder="1" applyAlignment="1">
      <alignment horizontal="center" vertical="center" wrapText="1"/>
      <protection/>
    </xf>
    <xf numFmtId="0" fontId="4" fillId="0" borderId="17" xfId="55" applyFont="1" applyBorder="1" applyAlignment="1">
      <alignment horizontal="center" vertical="center" wrapText="1"/>
      <protection/>
    </xf>
    <xf numFmtId="164" fontId="4" fillId="33" borderId="13" xfId="53" applyNumberFormat="1" applyFont="1" applyFill="1" applyBorder="1" applyAlignment="1">
      <alignment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4" fontId="4" fillId="33" borderId="11" xfId="52" applyNumberFormat="1" applyFont="1" applyFill="1" applyBorder="1" applyAlignment="1">
      <alignment vertical="center" wrapText="1"/>
      <protection/>
    </xf>
    <xf numFmtId="49" fontId="4" fillId="0" borderId="15" xfId="52" applyNumberFormat="1" applyFont="1" applyBorder="1" applyAlignment="1">
      <alignment vertical="center" wrapText="1"/>
      <protection/>
    </xf>
    <xf numFmtId="49" fontId="4" fillId="0" borderId="17" xfId="52" applyNumberFormat="1" applyFont="1" applyBorder="1" applyAlignment="1">
      <alignment vertical="center" wrapText="1"/>
      <protection/>
    </xf>
    <xf numFmtId="4" fontId="6" fillId="33" borderId="11" xfId="52" applyNumberFormat="1" applyFont="1" applyFill="1" applyBorder="1" applyAlignment="1">
      <alignment vertical="center" wrapText="1"/>
      <protection/>
    </xf>
    <xf numFmtId="2" fontId="4" fillId="33" borderId="13" xfId="55" applyNumberFormat="1" applyFont="1" applyFill="1" applyBorder="1" applyAlignment="1">
      <alignment vertical="center" wrapText="1"/>
      <protection/>
    </xf>
    <xf numFmtId="2" fontId="4" fillId="33" borderId="11" xfId="55" applyNumberFormat="1" applyFont="1" applyFill="1" applyBorder="1" applyAlignment="1">
      <alignment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3" xfId="55" applyFont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4" fillId="0" borderId="15" xfId="55" applyFont="1" applyBorder="1" applyAlignment="1">
      <alignment horizontal="center" vertical="center" wrapText="1"/>
      <protection/>
    </xf>
    <xf numFmtId="0" fontId="4" fillId="0" borderId="17" xfId="55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49" fontId="4" fillId="0" borderId="15" xfId="52" applyNumberFormat="1" applyFont="1" applyBorder="1" applyAlignment="1">
      <alignment vertical="center" wrapText="1"/>
      <protection/>
    </xf>
    <xf numFmtId="49" fontId="4" fillId="0" borderId="17" xfId="52" applyNumberFormat="1" applyFont="1" applyBorder="1" applyAlignment="1">
      <alignment vertical="center" wrapText="1"/>
      <protection/>
    </xf>
    <xf numFmtId="4" fontId="6" fillId="33" borderId="11" xfId="52" applyNumberFormat="1" applyFont="1" applyFill="1" applyBorder="1" applyAlignment="1">
      <alignment vertical="center" wrapText="1"/>
      <protection/>
    </xf>
    <xf numFmtId="4" fontId="4" fillId="33" borderId="11" xfId="52" applyNumberFormat="1" applyFont="1" applyFill="1" applyBorder="1" applyAlignment="1">
      <alignment vertical="center" wrapText="1"/>
      <protection/>
    </xf>
    <xf numFmtId="164" fontId="4" fillId="33" borderId="13" xfId="53" applyNumberFormat="1" applyFont="1" applyFill="1" applyBorder="1" applyAlignment="1">
      <alignment vertical="center" wrapText="1"/>
      <protection/>
    </xf>
    <xf numFmtId="0" fontId="4" fillId="0" borderId="0" xfId="52" applyFont="1" applyAlignment="1">
      <alignment vertical="center" wrapText="1"/>
      <protection/>
    </xf>
    <xf numFmtId="2" fontId="4" fillId="33" borderId="13" xfId="55" applyNumberFormat="1" applyFont="1" applyFill="1" applyBorder="1" applyAlignment="1">
      <alignment vertical="center" wrapText="1"/>
      <protection/>
    </xf>
    <xf numFmtId="2" fontId="4" fillId="33" borderId="11" xfId="55" applyNumberFormat="1" applyFont="1" applyFill="1" applyBorder="1" applyAlignment="1">
      <alignment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3" xfId="55" applyFont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4" fillId="0" borderId="15" xfId="55" applyFont="1" applyBorder="1" applyAlignment="1">
      <alignment horizontal="center" vertical="center" wrapText="1"/>
      <protection/>
    </xf>
    <xf numFmtId="0" fontId="4" fillId="0" borderId="17" xfId="55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49" fontId="4" fillId="0" borderId="15" xfId="52" applyNumberFormat="1" applyFont="1" applyBorder="1" applyAlignment="1">
      <alignment vertical="center" wrapText="1"/>
      <protection/>
    </xf>
    <xf numFmtId="49" fontId="4" fillId="0" borderId="17" xfId="52" applyNumberFormat="1" applyFont="1" applyBorder="1" applyAlignment="1">
      <alignment vertical="center" wrapText="1"/>
      <protection/>
    </xf>
    <xf numFmtId="4" fontId="6" fillId="33" borderId="11" xfId="52" applyNumberFormat="1" applyFont="1" applyFill="1" applyBorder="1" applyAlignment="1">
      <alignment vertical="center" wrapText="1"/>
      <protection/>
    </xf>
    <xf numFmtId="4" fontId="4" fillId="33" borderId="11" xfId="52" applyNumberFormat="1" applyFont="1" applyFill="1" applyBorder="1" applyAlignment="1">
      <alignment vertical="center" wrapText="1"/>
      <protection/>
    </xf>
    <xf numFmtId="164" fontId="4" fillId="33" borderId="13" xfId="53" applyNumberFormat="1" applyFont="1" applyFill="1" applyBorder="1" applyAlignment="1">
      <alignment vertical="center" wrapText="1"/>
      <protection/>
    </xf>
    <xf numFmtId="0" fontId="4" fillId="0" borderId="0" xfId="52" applyFont="1" applyAlignment="1">
      <alignment vertical="center" wrapText="1"/>
      <protection/>
    </xf>
    <xf numFmtId="0" fontId="6" fillId="0" borderId="28" xfId="52" applyFont="1" applyBorder="1" applyAlignment="1">
      <alignment vertical="center"/>
      <protection/>
    </xf>
    <xf numFmtId="0" fontId="6" fillId="0" borderId="29" xfId="52" applyFont="1" applyBorder="1" applyAlignment="1">
      <alignment vertical="center"/>
      <protection/>
    </xf>
    <xf numFmtId="0" fontId="4" fillId="0" borderId="0" xfId="52" applyFont="1" applyAlignment="1">
      <alignment vertical="center" wrapText="1"/>
      <protection/>
    </xf>
    <xf numFmtId="0" fontId="4" fillId="0" borderId="13" xfId="55" applyFont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2" fontId="4" fillId="33" borderId="13" xfId="55" applyNumberFormat="1" applyFont="1" applyFill="1" applyBorder="1" applyAlignment="1">
      <alignment vertical="center" wrapText="1"/>
      <protection/>
    </xf>
    <xf numFmtId="2" fontId="4" fillId="33" borderId="11" xfId="55" applyNumberFormat="1" applyFont="1" applyFill="1" applyBorder="1" applyAlignment="1">
      <alignment vertical="center" wrapText="1"/>
      <protection/>
    </xf>
    <xf numFmtId="0" fontId="4" fillId="0" borderId="15" xfId="55" applyFont="1" applyBorder="1" applyAlignment="1">
      <alignment horizontal="center" vertical="center" wrapText="1"/>
      <protection/>
    </xf>
    <xf numFmtId="0" fontId="4" fillId="0" borderId="17" xfId="55" applyFont="1" applyBorder="1" applyAlignment="1">
      <alignment horizontal="center" vertical="center" wrapText="1"/>
      <protection/>
    </xf>
    <xf numFmtId="164" fontId="4" fillId="33" borderId="13" xfId="53" applyNumberFormat="1" applyFont="1" applyFill="1" applyBorder="1" applyAlignment="1">
      <alignment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4" fontId="4" fillId="33" borderId="11" xfId="52" applyNumberFormat="1" applyFont="1" applyFill="1" applyBorder="1" applyAlignment="1">
      <alignment vertical="center" wrapText="1"/>
      <protection/>
    </xf>
    <xf numFmtId="49" fontId="4" fillId="0" borderId="15" xfId="52" applyNumberFormat="1" applyFont="1" applyBorder="1" applyAlignment="1">
      <alignment vertical="center" wrapText="1"/>
      <protection/>
    </xf>
    <xf numFmtId="49" fontId="4" fillId="0" borderId="17" xfId="52" applyNumberFormat="1" applyFont="1" applyBorder="1" applyAlignment="1">
      <alignment vertical="center" wrapText="1"/>
      <protection/>
    </xf>
    <xf numFmtId="4" fontId="6" fillId="33" borderId="11" xfId="52" applyNumberFormat="1" applyFont="1" applyFill="1" applyBorder="1" applyAlignment="1">
      <alignment vertical="center" wrapText="1"/>
      <protection/>
    </xf>
    <xf numFmtId="0" fontId="4" fillId="0" borderId="15" xfId="52" applyNumberFormat="1" applyFont="1" applyBorder="1" applyAlignment="1">
      <alignment horizontal="right" vertical="center" wrapText="1"/>
      <protection/>
    </xf>
    <xf numFmtId="164" fontId="4" fillId="33" borderId="31" xfId="52" applyNumberFormat="1" applyFont="1" applyFill="1" applyBorder="1" applyAlignment="1">
      <alignment vertical="center" wrapText="1"/>
      <protection/>
    </xf>
    <xf numFmtId="164" fontId="4" fillId="33" borderId="23" xfId="52" applyNumberFormat="1" applyFont="1" applyFill="1" applyBorder="1" applyAlignment="1">
      <alignment vertical="center" wrapText="1"/>
      <protection/>
    </xf>
    <xf numFmtId="2" fontId="4" fillId="33" borderId="23" xfId="52" applyNumberFormat="1" applyFont="1" applyFill="1" applyBorder="1" applyAlignment="1">
      <alignment vertical="center" wrapText="1"/>
      <protection/>
    </xf>
    <xf numFmtId="4" fontId="4" fillId="33" borderId="23" xfId="53" applyNumberFormat="1" applyFont="1" applyFill="1" applyBorder="1" applyAlignment="1">
      <alignment horizontal="right" vertical="center" wrapText="1"/>
      <protection/>
    </xf>
    <xf numFmtId="4" fontId="4" fillId="33" borderId="23" xfId="52" applyNumberFormat="1" applyFont="1" applyFill="1" applyBorder="1" applyAlignment="1">
      <alignment vertical="center" wrapText="1"/>
      <protection/>
    </xf>
    <xf numFmtId="2" fontId="4" fillId="33" borderId="23" xfId="0" applyNumberFormat="1" applyFont="1" applyFill="1" applyBorder="1" applyAlignment="1">
      <alignment horizontal="right" vertical="center" wrapText="1"/>
    </xf>
    <xf numFmtId="2" fontId="4" fillId="0" borderId="23" xfId="0" applyNumberFormat="1" applyFont="1" applyBorder="1" applyAlignment="1">
      <alignment vertical="center"/>
    </xf>
    <xf numFmtId="4" fontId="4" fillId="33" borderId="30" xfId="52" applyNumberFormat="1" applyFont="1" applyFill="1" applyBorder="1" applyAlignment="1">
      <alignment vertical="center" wrapText="1"/>
      <protection/>
    </xf>
    <xf numFmtId="0" fontId="4" fillId="0" borderId="0" xfId="52" applyFont="1" applyAlignment="1">
      <alignment vertical="center" wrapText="1"/>
      <protection/>
    </xf>
    <xf numFmtId="0" fontId="4" fillId="0" borderId="13" xfId="55" applyFont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2" fontId="4" fillId="33" borderId="13" xfId="55" applyNumberFormat="1" applyFont="1" applyFill="1" applyBorder="1" applyAlignment="1">
      <alignment vertical="center" wrapText="1"/>
      <protection/>
    </xf>
    <xf numFmtId="2" fontId="4" fillId="33" borderId="11" xfId="55" applyNumberFormat="1" applyFont="1" applyFill="1" applyBorder="1" applyAlignment="1">
      <alignment vertical="center" wrapText="1"/>
      <protection/>
    </xf>
    <xf numFmtId="0" fontId="4" fillId="0" borderId="15" xfId="55" applyFont="1" applyBorder="1" applyAlignment="1">
      <alignment horizontal="center" vertical="center" wrapText="1"/>
      <protection/>
    </xf>
    <xf numFmtId="0" fontId="4" fillId="0" borderId="17" xfId="55" applyFont="1" applyBorder="1" applyAlignment="1">
      <alignment horizontal="center" vertical="center" wrapText="1"/>
      <protection/>
    </xf>
    <xf numFmtId="164" fontId="4" fillId="33" borderId="13" xfId="53" applyNumberFormat="1" applyFont="1" applyFill="1" applyBorder="1" applyAlignment="1">
      <alignment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4" fontId="4" fillId="33" borderId="11" xfId="52" applyNumberFormat="1" applyFont="1" applyFill="1" applyBorder="1" applyAlignment="1">
      <alignment vertical="center" wrapText="1"/>
      <protection/>
    </xf>
    <xf numFmtId="49" fontId="4" fillId="0" borderId="15" xfId="52" applyNumberFormat="1" applyFont="1" applyBorder="1" applyAlignment="1">
      <alignment vertical="center" wrapText="1"/>
      <protection/>
    </xf>
    <xf numFmtId="49" fontId="4" fillId="0" borderId="17" xfId="52" applyNumberFormat="1" applyFont="1" applyBorder="1" applyAlignment="1">
      <alignment vertical="center" wrapText="1"/>
      <protection/>
    </xf>
    <xf numFmtId="4" fontId="6" fillId="33" borderId="11" xfId="52" applyNumberFormat="1" applyFont="1" applyFill="1" applyBorder="1" applyAlignment="1">
      <alignment vertical="center" wrapText="1"/>
      <protection/>
    </xf>
    <xf numFmtId="0" fontId="2" fillId="0" borderId="0" xfId="52" applyFont="1">
      <alignment/>
      <protection/>
    </xf>
    <xf numFmtId="2" fontId="4" fillId="33" borderId="13" xfId="55" applyNumberFormat="1" applyFont="1" applyFill="1" applyBorder="1" applyAlignment="1">
      <alignment vertical="center" wrapText="1"/>
      <protection/>
    </xf>
    <xf numFmtId="2" fontId="4" fillId="33" borderId="11" xfId="55" applyNumberFormat="1" applyFont="1" applyFill="1" applyBorder="1" applyAlignment="1">
      <alignment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3" xfId="55" applyFont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4" fillId="0" borderId="15" xfId="55" applyFont="1" applyBorder="1" applyAlignment="1">
      <alignment horizontal="center" vertical="center" wrapText="1"/>
      <protection/>
    </xf>
    <xf numFmtId="0" fontId="4" fillId="0" borderId="17" xfId="55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49" fontId="4" fillId="0" borderId="15" xfId="52" applyNumberFormat="1" applyFont="1" applyBorder="1" applyAlignment="1">
      <alignment vertical="center" wrapText="1"/>
      <protection/>
    </xf>
    <xf numFmtId="49" fontId="4" fillId="0" borderId="17" xfId="52" applyNumberFormat="1" applyFont="1" applyBorder="1" applyAlignment="1">
      <alignment vertical="center" wrapText="1"/>
      <protection/>
    </xf>
    <xf numFmtId="4" fontId="6" fillId="33" borderId="11" xfId="52" applyNumberFormat="1" applyFont="1" applyFill="1" applyBorder="1" applyAlignment="1">
      <alignment vertical="center" wrapText="1"/>
      <protection/>
    </xf>
    <xf numFmtId="4" fontId="4" fillId="33" borderId="11" xfId="52" applyNumberFormat="1" applyFont="1" applyFill="1" applyBorder="1" applyAlignment="1">
      <alignment vertical="center" wrapText="1"/>
      <protection/>
    </xf>
    <xf numFmtId="164" fontId="4" fillId="33" borderId="13" xfId="53" applyNumberFormat="1" applyFont="1" applyFill="1" applyBorder="1" applyAlignment="1">
      <alignment vertical="center" wrapText="1"/>
      <protection/>
    </xf>
    <xf numFmtId="0" fontId="4" fillId="0" borderId="0" xfId="52" applyFont="1" applyAlignment="1">
      <alignment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2" fontId="6" fillId="0" borderId="0" xfId="52" applyNumberFormat="1" applyFont="1">
      <alignment/>
      <protection/>
    </xf>
    <xf numFmtId="2" fontId="4" fillId="0" borderId="10" xfId="0" applyNumberFormat="1" applyFont="1" applyBorder="1" applyAlignment="1">
      <alignment horizontal="right" vertical="center"/>
    </xf>
    <xf numFmtId="2" fontId="17" fillId="0" borderId="0" xfId="52" applyNumberFormat="1" applyFont="1">
      <alignment/>
      <protection/>
    </xf>
    <xf numFmtId="2" fontId="52" fillId="0" borderId="0" xfId="0" applyNumberFormat="1" applyFont="1" applyAlignment="1">
      <alignment/>
    </xf>
    <xf numFmtId="0" fontId="3" fillId="0" borderId="0" xfId="52" applyFont="1" applyAlignment="1">
      <alignment horizontal="center" vertical="center" wrapText="1"/>
      <protection/>
    </xf>
    <xf numFmtId="0" fontId="4" fillId="7" borderId="0" xfId="55" applyFont="1" applyFill="1" applyAlignment="1">
      <alignment horizontal="center" vertical="center" wrapText="1"/>
      <protection/>
    </xf>
    <xf numFmtId="0" fontId="4" fillId="13" borderId="32" xfId="55" applyFont="1" applyFill="1" applyBorder="1" applyAlignment="1">
      <alignment horizontal="left" vertical="center" wrapText="1"/>
      <protection/>
    </xf>
    <xf numFmtId="0" fontId="4" fillId="0" borderId="22" xfId="55" applyFont="1" applyBorder="1" applyAlignment="1">
      <alignment horizontal="center" vertical="center" wrapText="1"/>
      <protection/>
    </xf>
    <xf numFmtId="0" fontId="4" fillId="0" borderId="13" xfId="55" applyFont="1" applyBorder="1" applyAlignment="1">
      <alignment vertical="center" wrapText="1"/>
      <protection/>
    </xf>
    <xf numFmtId="0" fontId="4" fillId="0" borderId="22" xfId="55" applyFont="1" applyBorder="1" applyAlignment="1">
      <alignment vertical="center" wrapText="1"/>
      <protection/>
    </xf>
    <xf numFmtId="0" fontId="4" fillId="0" borderId="11" xfId="55" applyFont="1" applyBorder="1" applyAlignment="1">
      <alignment vertical="center" wrapText="1"/>
      <protection/>
    </xf>
    <xf numFmtId="0" fontId="4" fillId="33" borderId="22" xfId="55" applyFont="1" applyFill="1" applyBorder="1" applyAlignment="1">
      <alignment vertical="center" wrapText="1"/>
      <protection/>
    </xf>
    <xf numFmtId="0" fontId="4" fillId="33" borderId="11" xfId="55" applyFont="1" applyFill="1" applyBorder="1" applyAlignment="1">
      <alignment vertical="center" wrapText="1"/>
      <protection/>
    </xf>
    <xf numFmtId="0" fontId="4" fillId="0" borderId="13" xfId="55" applyFont="1" applyBorder="1" applyAlignment="1">
      <alignment horizontal="right" vertical="center" wrapText="1"/>
      <protection/>
    </xf>
    <xf numFmtId="0" fontId="4" fillId="0" borderId="22" xfId="55" applyFont="1" applyBorder="1" applyAlignment="1">
      <alignment horizontal="right" vertical="center" wrapText="1"/>
      <protection/>
    </xf>
    <xf numFmtId="0" fontId="4" fillId="0" borderId="11" xfId="55" applyFont="1" applyBorder="1" applyAlignment="1">
      <alignment horizontal="right" vertical="center" wrapText="1"/>
      <protection/>
    </xf>
    <xf numFmtId="2" fontId="4" fillId="33" borderId="13" xfId="55" applyNumberFormat="1" applyFont="1" applyFill="1" applyBorder="1" applyAlignment="1">
      <alignment vertical="center" wrapText="1"/>
      <protection/>
    </xf>
    <xf numFmtId="2" fontId="4" fillId="33" borderId="11" xfId="55" applyNumberFormat="1" applyFont="1" applyFill="1" applyBorder="1" applyAlignment="1">
      <alignment vertical="center" wrapText="1"/>
      <protection/>
    </xf>
    <xf numFmtId="164" fontId="4" fillId="0" borderId="13" xfId="52" applyNumberFormat="1" applyFont="1" applyFill="1" applyBorder="1" applyAlignment="1">
      <alignment vertical="center" wrapText="1"/>
      <protection/>
    </xf>
    <xf numFmtId="164" fontId="4" fillId="0" borderId="22" xfId="52" applyNumberFormat="1" applyFont="1" applyFill="1" applyBorder="1" applyAlignment="1">
      <alignment vertical="center" wrapText="1"/>
      <protection/>
    </xf>
    <xf numFmtId="164" fontId="4" fillId="0" borderId="11" xfId="52" applyNumberFormat="1" applyFont="1" applyFill="1" applyBorder="1" applyAlignment="1">
      <alignment vertical="center" wrapText="1"/>
      <protection/>
    </xf>
    <xf numFmtId="0" fontId="4" fillId="0" borderId="22" xfId="52" applyFont="1" applyBorder="1" applyAlignment="1">
      <alignment horizontal="center" vertical="center" wrapText="1"/>
      <protection/>
    </xf>
    <xf numFmtId="0" fontId="4" fillId="0" borderId="23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3" xfId="55" applyFont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4" fillId="0" borderId="15" xfId="55" applyFont="1" applyBorder="1" applyAlignment="1">
      <alignment horizontal="center" vertical="center" wrapText="1"/>
      <protection/>
    </xf>
    <xf numFmtId="0" fontId="4" fillId="0" borderId="17" xfId="55" applyFont="1" applyBorder="1" applyAlignment="1">
      <alignment horizontal="center" vertical="center" wrapText="1"/>
      <protection/>
    </xf>
    <xf numFmtId="49" fontId="4" fillId="0" borderId="13" xfId="52" applyNumberFormat="1" applyFont="1" applyFill="1" applyBorder="1" applyAlignment="1">
      <alignment horizontal="center" vertical="center" wrapText="1"/>
      <protection/>
    </xf>
    <xf numFmtId="49" fontId="4" fillId="0" borderId="22" xfId="52" applyNumberFormat="1" applyFont="1" applyFill="1" applyBorder="1" applyAlignment="1">
      <alignment horizontal="center" vertical="center" wrapText="1"/>
      <protection/>
    </xf>
    <xf numFmtId="49" fontId="4" fillId="0" borderId="11" xfId="52" applyNumberFormat="1" applyFont="1" applyFill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49" fontId="4" fillId="0" borderId="15" xfId="52" applyNumberFormat="1" applyFont="1" applyBorder="1" applyAlignment="1">
      <alignment vertical="center" wrapText="1"/>
      <protection/>
    </xf>
    <xf numFmtId="49" fontId="4" fillId="0" borderId="17" xfId="52" applyNumberFormat="1" applyFont="1" applyBorder="1" applyAlignment="1">
      <alignment vertical="center" wrapText="1"/>
      <protection/>
    </xf>
    <xf numFmtId="0" fontId="4" fillId="33" borderId="31" xfId="52" applyFont="1" applyFill="1" applyBorder="1" applyAlignment="1">
      <alignment horizontal="center" vertical="center" wrapText="1"/>
      <protection/>
    </xf>
    <xf numFmtId="0" fontId="4" fillId="33" borderId="23" xfId="52" applyFont="1" applyFill="1" applyBorder="1" applyAlignment="1">
      <alignment horizontal="center" vertical="center" wrapText="1"/>
      <protection/>
    </xf>
    <xf numFmtId="0" fontId="4" fillId="33" borderId="30" xfId="52" applyFont="1" applyFill="1" applyBorder="1" applyAlignment="1">
      <alignment horizontal="center" vertical="center" wrapText="1"/>
      <protection/>
    </xf>
    <xf numFmtId="0" fontId="4" fillId="33" borderId="33" xfId="52" applyFont="1" applyFill="1" applyBorder="1" applyAlignment="1">
      <alignment horizontal="center" vertical="center" wrapText="1"/>
      <protection/>
    </xf>
    <xf numFmtId="0" fontId="4" fillId="33" borderId="34" xfId="52" applyFont="1" applyFill="1" applyBorder="1" applyAlignment="1">
      <alignment horizontal="center" vertical="center" wrapText="1"/>
      <protection/>
    </xf>
    <xf numFmtId="0" fontId="4" fillId="33" borderId="16" xfId="52" applyFont="1" applyFill="1" applyBorder="1" applyAlignment="1">
      <alignment horizontal="center" vertical="center" wrapText="1"/>
      <protection/>
    </xf>
    <xf numFmtId="0" fontId="6" fillId="33" borderId="13" xfId="52" applyFont="1" applyFill="1" applyBorder="1" applyAlignment="1">
      <alignment horizontal="center" vertical="center" wrapText="1"/>
      <protection/>
    </xf>
    <xf numFmtId="0" fontId="6" fillId="33" borderId="22" xfId="52" applyFont="1" applyFill="1" applyBorder="1" applyAlignment="1">
      <alignment horizontal="center" vertical="center" wrapText="1"/>
      <protection/>
    </xf>
    <xf numFmtId="0" fontId="6" fillId="33" borderId="11" xfId="52" applyFont="1" applyFill="1" applyBorder="1" applyAlignment="1">
      <alignment horizontal="center" vertical="center" wrapText="1"/>
      <protection/>
    </xf>
    <xf numFmtId="4" fontId="6" fillId="33" borderId="13" xfId="52" applyNumberFormat="1" applyFont="1" applyFill="1" applyBorder="1" applyAlignment="1">
      <alignment vertical="center" wrapText="1"/>
      <protection/>
    </xf>
    <xf numFmtId="4" fontId="6" fillId="33" borderId="22" xfId="52" applyNumberFormat="1" applyFont="1" applyFill="1" applyBorder="1" applyAlignment="1">
      <alignment vertical="center" wrapText="1"/>
      <protection/>
    </xf>
    <xf numFmtId="4" fontId="6" fillId="33" borderId="11" xfId="52" applyNumberFormat="1" applyFont="1" applyFill="1" applyBorder="1" applyAlignment="1">
      <alignment vertical="center" wrapText="1"/>
      <protection/>
    </xf>
    <xf numFmtId="0" fontId="4" fillId="0" borderId="31" xfId="55" applyFont="1" applyBorder="1" applyAlignment="1">
      <alignment vertical="center" wrapText="1"/>
      <protection/>
    </xf>
    <xf numFmtId="0" fontId="4" fillId="0" borderId="23" xfId="55" applyFont="1" applyBorder="1" applyAlignment="1">
      <alignment vertical="center" wrapText="1"/>
      <protection/>
    </xf>
    <xf numFmtId="0" fontId="4" fillId="0" borderId="23" xfId="55" applyFont="1" applyBorder="1" applyAlignment="1">
      <alignment horizontal="center" vertical="center" wrapText="1"/>
      <protection/>
    </xf>
    <xf numFmtId="0" fontId="4" fillId="0" borderId="30" xfId="55" applyFont="1" applyBorder="1" applyAlignment="1">
      <alignment horizontal="center" vertical="center" wrapText="1"/>
      <protection/>
    </xf>
    <xf numFmtId="164" fontId="4" fillId="0" borderId="31" xfId="52" applyNumberFormat="1" applyFont="1" applyFill="1" applyBorder="1" applyAlignment="1">
      <alignment horizontal="center" vertical="center" wrapText="1"/>
      <protection/>
    </xf>
    <xf numFmtId="164" fontId="4" fillId="0" borderId="23" xfId="52" applyNumberFormat="1" applyFont="1" applyFill="1" applyBorder="1" applyAlignment="1">
      <alignment horizontal="center" vertical="center" wrapText="1"/>
      <protection/>
    </xf>
    <xf numFmtId="164" fontId="4" fillId="0" borderId="30" xfId="52" applyNumberFormat="1" applyFont="1" applyFill="1" applyBorder="1" applyAlignment="1">
      <alignment horizontal="center" vertical="center" wrapText="1"/>
      <protection/>
    </xf>
    <xf numFmtId="164" fontId="4" fillId="0" borderId="33" xfId="52" applyNumberFormat="1" applyFont="1" applyFill="1" applyBorder="1" applyAlignment="1">
      <alignment horizontal="center" vertical="center" wrapText="1"/>
      <protection/>
    </xf>
    <xf numFmtId="164" fontId="4" fillId="0" borderId="34" xfId="52" applyNumberFormat="1" applyFont="1" applyFill="1" applyBorder="1" applyAlignment="1">
      <alignment horizontal="center" vertical="center" wrapText="1"/>
      <protection/>
    </xf>
    <xf numFmtId="164" fontId="4" fillId="0" borderId="16" xfId="52" applyNumberFormat="1" applyFont="1" applyFill="1" applyBorder="1" applyAlignment="1">
      <alignment horizontal="center" vertical="center" wrapText="1"/>
      <protection/>
    </xf>
    <xf numFmtId="0" fontId="4" fillId="0" borderId="31" xfId="55" applyFont="1" applyBorder="1" applyAlignment="1">
      <alignment horizontal="center" vertical="center" wrapText="1"/>
      <protection/>
    </xf>
    <xf numFmtId="0" fontId="4" fillId="0" borderId="33" xfId="55" applyFont="1" applyBorder="1" applyAlignment="1">
      <alignment horizontal="center" vertical="center" wrapText="1"/>
      <protection/>
    </xf>
    <xf numFmtId="0" fontId="4" fillId="0" borderId="34" xfId="55" applyFont="1" applyBorder="1" applyAlignment="1">
      <alignment horizontal="center" vertical="center" wrapText="1"/>
      <protection/>
    </xf>
    <xf numFmtId="0" fontId="4" fillId="0" borderId="16" xfId="55" applyFont="1" applyBorder="1" applyAlignment="1">
      <alignment horizontal="center" vertical="center" wrapText="1"/>
      <protection/>
    </xf>
    <xf numFmtId="164" fontId="4" fillId="0" borderId="35" xfId="53" applyNumberFormat="1" applyFont="1" applyFill="1" applyBorder="1" applyAlignment="1">
      <alignment horizontal="left" vertical="center" wrapText="1"/>
      <protection/>
    </xf>
    <xf numFmtId="164" fontId="4" fillId="0" borderId="32" xfId="53" applyNumberFormat="1" applyFont="1" applyFill="1" applyBorder="1" applyAlignment="1">
      <alignment horizontal="left" vertical="center" wrapText="1"/>
      <protection/>
    </xf>
    <xf numFmtId="164" fontId="4" fillId="0" borderId="36" xfId="53" applyNumberFormat="1" applyFont="1" applyFill="1" applyBorder="1" applyAlignment="1">
      <alignment horizontal="left" vertical="center" wrapText="1"/>
      <protection/>
    </xf>
    <xf numFmtId="4" fontId="4" fillId="33" borderId="13" xfId="52" applyNumberFormat="1" applyFont="1" applyFill="1" applyBorder="1" applyAlignment="1">
      <alignment vertical="center" wrapText="1"/>
      <protection/>
    </xf>
    <xf numFmtId="4" fontId="4" fillId="33" borderId="22" xfId="52" applyNumberFormat="1" applyFont="1" applyFill="1" applyBorder="1" applyAlignment="1">
      <alignment vertical="center" wrapText="1"/>
      <protection/>
    </xf>
    <xf numFmtId="4" fontId="4" fillId="33" borderId="11" xfId="52" applyNumberFormat="1" applyFont="1" applyFill="1" applyBorder="1" applyAlignment="1">
      <alignment vertical="center" wrapText="1"/>
      <protection/>
    </xf>
    <xf numFmtId="164" fontId="4" fillId="0" borderId="13" xfId="53" applyNumberFormat="1" applyFont="1" applyFill="1" applyBorder="1" applyAlignment="1">
      <alignment horizontal="left" vertical="center" wrapText="1"/>
      <protection/>
    </xf>
    <xf numFmtId="164" fontId="4" fillId="0" borderId="22" xfId="53" applyNumberFormat="1" applyFont="1" applyFill="1" applyBorder="1" applyAlignment="1">
      <alignment horizontal="left" vertical="center" wrapText="1"/>
      <protection/>
    </xf>
    <xf numFmtId="164" fontId="4" fillId="0" borderId="11" xfId="53" applyNumberFormat="1" applyFont="1" applyFill="1" applyBorder="1" applyAlignment="1">
      <alignment horizontal="left" vertical="center" wrapText="1"/>
      <protection/>
    </xf>
    <xf numFmtId="164" fontId="4" fillId="33" borderId="13" xfId="53" applyNumberFormat="1" applyFont="1" applyFill="1" applyBorder="1" applyAlignment="1">
      <alignment vertical="center" wrapText="1"/>
      <protection/>
    </xf>
    <xf numFmtId="164" fontId="4" fillId="33" borderId="22" xfId="53" applyNumberFormat="1" applyFont="1" applyFill="1" applyBorder="1" applyAlignment="1">
      <alignment vertical="center" wrapText="1"/>
      <protection/>
    </xf>
    <xf numFmtId="164" fontId="4" fillId="33" borderId="11" xfId="53" applyNumberFormat="1" applyFont="1" applyFill="1" applyBorder="1" applyAlignment="1">
      <alignment vertical="center" wrapText="1"/>
      <protection/>
    </xf>
    <xf numFmtId="164" fontId="4" fillId="33" borderId="31" xfId="53" applyNumberFormat="1" applyFont="1" applyFill="1" applyBorder="1" applyAlignment="1">
      <alignment vertical="center" wrapText="1"/>
      <protection/>
    </xf>
    <xf numFmtId="164" fontId="4" fillId="33" borderId="23" xfId="53" applyNumberFormat="1" applyFont="1" applyFill="1" applyBorder="1" applyAlignment="1">
      <alignment vertical="center" wrapText="1"/>
      <protection/>
    </xf>
    <xf numFmtId="164" fontId="4" fillId="33" borderId="30" xfId="53" applyNumberFormat="1" applyFont="1" applyFill="1" applyBorder="1" applyAlignment="1">
      <alignment vertical="center" wrapText="1"/>
      <protection/>
    </xf>
    <xf numFmtId="164" fontId="4" fillId="0" borderId="37" xfId="53" applyNumberFormat="1" applyFont="1" applyFill="1" applyBorder="1" applyAlignment="1">
      <alignment horizontal="left" vertical="center" wrapText="1"/>
      <protection/>
    </xf>
    <xf numFmtId="164" fontId="4" fillId="0" borderId="38" xfId="53" applyNumberFormat="1" applyFont="1" applyFill="1" applyBorder="1" applyAlignment="1">
      <alignment horizontal="left" vertical="center" wrapText="1"/>
      <protection/>
    </xf>
    <xf numFmtId="164" fontId="4" fillId="0" borderId="39" xfId="53" applyNumberFormat="1" applyFont="1" applyFill="1" applyBorder="1" applyAlignment="1">
      <alignment horizontal="left" vertical="center" wrapText="1"/>
      <protection/>
    </xf>
    <xf numFmtId="164" fontId="4" fillId="33" borderId="13" xfId="52" applyNumberFormat="1" applyFont="1" applyFill="1" applyBorder="1" applyAlignment="1">
      <alignment vertical="center" wrapText="1"/>
      <protection/>
    </xf>
    <xf numFmtId="164" fontId="4" fillId="33" borderId="22" xfId="52" applyNumberFormat="1" applyFont="1" applyFill="1" applyBorder="1" applyAlignment="1">
      <alignment vertical="center" wrapText="1"/>
      <protection/>
    </xf>
    <xf numFmtId="164" fontId="4" fillId="33" borderId="11" xfId="52" applyNumberFormat="1" applyFont="1" applyFill="1" applyBorder="1" applyAlignment="1">
      <alignment vertical="center" wrapText="1"/>
      <protection/>
    </xf>
    <xf numFmtId="164" fontId="4" fillId="33" borderId="31" xfId="52" applyNumberFormat="1" applyFont="1" applyFill="1" applyBorder="1" applyAlignment="1">
      <alignment horizontal="center" vertical="center" wrapText="1"/>
      <protection/>
    </xf>
    <xf numFmtId="164" fontId="4" fillId="33" borderId="23" xfId="52" applyNumberFormat="1" applyFont="1" applyFill="1" applyBorder="1" applyAlignment="1">
      <alignment horizontal="center" vertical="center" wrapText="1"/>
      <protection/>
    </xf>
    <xf numFmtId="164" fontId="4" fillId="33" borderId="30" xfId="52" applyNumberFormat="1" applyFont="1" applyFill="1" applyBorder="1" applyAlignment="1">
      <alignment horizontal="center" vertical="center" wrapText="1"/>
      <protection/>
    </xf>
    <xf numFmtId="164" fontId="4" fillId="33" borderId="33" xfId="52" applyNumberFormat="1" applyFont="1" applyFill="1" applyBorder="1" applyAlignment="1">
      <alignment horizontal="center" vertical="center" wrapText="1"/>
      <protection/>
    </xf>
    <xf numFmtId="164" fontId="4" fillId="33" borderId="34" xfId="52" applyNumberFormat="1" applyFont="1" applyFill="1" applyBorder="1" applyAlignment="1">
      <alignment horizontal="center" vertical="center" wrapText="1"/>
      <protection/>
    </xf>
    <xf numFmtId="164" fontId="4" fillId="33" borderId="16" xfId="52" applyNumberFormat="1" applyFont="1" applyFill="1" applyBorder="1" applyAlignment="1">
      <alignment horizontal="center" vertical="center" wrapText="1"/>
      <protection/>
    </xf>
    <xf numFmtId="164" fontId="4" fillId="0" borderId="15" xfId="52" applyNumberFormat="1" applyFont="1" applyFill="1" applyBorder="1" applyAlignment="1">
      <alignment horizontal="center" vertical="center" wrapText="1"/>
      <protection/>
    </xf>
    <xf numFmtId="164" fontId="4" fillId="0" borderId="17" xfId="52" applyNumberFormat="1" applyFont="1" applyFill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wrapText="1"/>
      <protection/>
    </xf>
    <xf numFmtId="0" fontId="4" fillId="34" borderId="22" xfId="53" applyFont="1" applyFill="1" applyBorder="1" applyAlignment="1">
      <alignment horizontal="center" wrapText="1"/>
      <protection/>
    </xf>
    <xf numFmtId="0" fontId="4" fillId="34" borderId="11" xfId="53" applyFont="1" applyFill="1" applyBorder="1" applyAlignment="1">
      <alignment horizontal="center" wrapText="1"/>
      <protection/>
    </xf>
    <xf numFmtId="0" fontId="6" fillId="34" borderId="13" xfId="53" applyFont="1" applyFill="1" applyBorder="1" applyAlignment="1">
      <alignment vertical="center" wrapText="1"/>
      <protection/>
    </xf>
    <xf numFmtId="0" fontId="6" fillId="34" borderId="22" xfId="53" applyFont="1" applyFill="1" applyBorder="1" applyAlignment="1">
      <alignment vertical="center" wrapText="1"/>
      <protection/>
    </xf>
    <xf numFmtId="0" fontId="6" fillId="34" borderId="11" xfId="53" applyFont="1" applyFill="1" applyBorder="1" applyAlignment="1">
      <alignment vertical="center" wrapText="1"/>
      <protection/>
    </xf>
    <xf numFmtId="0" fontId="4" fillId="34" borderId="13" xfId="53" applyFont="1" applyFill="1" applyBorder="1" applyAlignment="1">
      <alignment horizontal="left" wrapText="1"/>
      <protection/>
    </xf>
    <xf numFmtId="0" fontId="4" fillId="34" borderId="22" xfId="53" applyFont="1" applyFill="1" applyBorder="1" applyAlignment="1">
      <alignment horizontal="left" wrapText="1"/>
      <protection/>
    </xf>
    <xf numFmtId="0" fontId="4" fillId="34" borderId="11" xfId="53" applyFont="1" applyFill="1" applyBorder="1" applyAlignment="1">
      <alignment horizontal="left" wrapText="1"/>
      <protection/>
    </xf>
    <xf numFmtId="0" fontId="4" fillId="34" borderId="13" xfId="53" applyFont="1" applyFill="1" applyBorder="1" applyAlignment="1">
      <alignment horizontal="right" vertical="center" wrapText="1"/>
      <protection/>
    </xf>
    <xf numFmtId="0" fontId="4" fillId="34" borderId="22" xfId="53" applyFont="1" applyFill="1" applyBorder="1" applyAlignment="1">
      <alignment horizontal="right" vertical="center" wrapText="1"/>
      <protection/>
    </xf>
    <xf numFmtId="0" fontId="4" fillId="34" borderId="11" xfId="53" applyFont="1" applyFill="1" applyBorder="1" applyAlignment="1">
      <alignment horizontal="right" vertical="center" wrapText="1"/>
      <protection/>
    </xf>
    <xf numFmtId="0" fontId="6" fillId="34" borderId="13" xfId="53" applyFont="1" applyFill="1" applyBorder="1" applyAlignment="1">
      <alignment horizontal="left" vertical="center" wrapText="1"/>
      <protection/>
    </xf>
    <xf numFmtId="0" fontId="6" fillId="34" borderId="22" xfId="53" applyFont="1" applyFill="1" applyBorder="1" applyAlignment="1">
      <alignment horizontal="left" vertical="center" wrapText="1"/>
      <protection/>
    </xf>
    <xf numFmtId="0" fontId="6" fillId="34" borderId="11" xfId="53" applyFont="1" applyFill="1" applyBorder="1" applyAlignment="1">
      <alignment horizontal="left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22" xfId="53" applyFont="1" applyFill="1" applyBorder="1" applyAlignment="1">
      <alignment horizontal="center" vertical="center" wrapText="1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6" fillId="34" borderId="13" xfId="53" applyFont="1" applyFill="1" applyBorder="1" applyAlignment="1">
      <alignment horizontal="center" vertical="center" wrapText="1"/>
      <protection/>
    </xf>
    <xf numFmtId="0" fontId="6" fillId="34" borderId="22" xfId="53" applyFont="1" applyFill="1" applyBorder="1" applyAlignment="1">
      <alignment horizontal="center" vertical="center" wrapText="1"/>
      <protection/>
    </xf>
    <xf numFmtId="0" fontId="6" fillId="34" borderId="11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left" vertical="center" wrapText="1"/>
      <protection/>
    </xf>
    <xf numFmtId="0" fontId="4" fillId="34" borderId="22" xfId="53" applyFont="1" applyFill="1" applyBorder="1" applyAlignment="1">
      <alignment horizontal="left" vertical="center" wrapText="1"/>
      <protection/>
    </xf>
    <xf numFmtId="0" fontId="4" fillId="34" borderId="11" xfId="53" applyFont="1" applyFill="1" applyBorder="1" applyAlignment="1">
      <alignment horizontal="left" vertical="center" wrapText="1"/>
      <protection/>
    </xf>
    <xf numFmtId="0" fontId="6" fillId="34" borderId="13" xfId="53" applyFont="1" applyFill="1" applyBorder="1" applyAlignment="1">
      <alignment horizontal="left" vertical="top" wrapText="1"/>
      <protection/>
    </xf>
    <xf numFmtId="0" fontId="6" fillId="34" borderId="22" xfId="53" applyFont="1" applyFill="1" applyBorder="1" applyAlignment="1">
      <alignment horizontal="left" vertical="top" wrapText="1"/>
      <protection/>
    </xf>
    <xf numFmtId="0" fontId="6" fillId="34" borderId="11" xfId="53" applyFont="1" applyFill="1" applyBorder="1" applyAlignment="1">
      <alignment horizontal="left" vertical="top" wrapText="1"/>
      <protection/>
    </xf>
    <xf numFmtId="0" fontId="11" fillId="34" borderId="13" xfId="53" applyFont="1" applyFill="1" applyBorder="1" applyAlignment="1">
      <alignment horizontal="center" vertical="center" wrapText="1"/>
      <protection/>
    </xf>
    <xf numFmtId="0" fontId="11" fillId="34" borderId="22" xfId="53" applyFont="1" applyFill="1" applyBorder="1" applyAlignment="1">
      <alignment horizontal="center" vertical="center" wrapText="1"/>
      <protection/>
    </xf>
    <xf numFmtId="0" fontId="11" fillId="34" borderId="11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left"/>
      <protection/>
    </xf>
    <xf numFmtId="0" fontId="4" fillId="34" borderId="22" xfId="53" applyFont="1" applyFill="1" applyBorder="1" applyAlignment="1">
      <alignment horizontal="left"/>
      <protection/>
    </xf>
    <xf numFmtId="0" fontId="8" fillId="34" borderId="13" xfId="53" applyFont="1" applyFill="1" applyBorder="1" applyAlignment="1">
      <alignment horizontal="left" vertical="center" wrapText="1"/>
      <protection/>
    </xf>
    <xf numFmtId="0" fontId="8" fillId="34" borderId="22" xfId="53" applyFont="1" applyFill="1" applyBorder="1" applyAlignment="1">
      <alignment horizontal="left" vertical="center" wrapText="1"/>
      <protection/>
    </xf>
    <xf numFmtId="0" fontId="8" fillId="34" borderId="11" xfId="53" applyFont="1" applyFill="1" applyBorder="1" applyAlignment="1">
      <alignment horizontal="left" vertical="center" wrapText="1"/>
      <protection/>
    </xf>
    <xf numFmtId="0" fontId="9" fillId="34" borderId="13" xfId="53" applyFont="1" applyFill="1" applyBorder="1" applyAlignment="1">
      <alignment horizontal="left" vertical="center"/>
      <protection/>
    </xf>
    <xf numFmtId="0" fontId="9" fillId="34" borderId="22" xfId="53" applyFont="1" applyFill="1" applyBorder="1" applyAlignment="1">
      <alignment horizontal="left" vertical="center"/>
      <protection/>
    </xf>
    <xf numFmtId="0" fontId="9" fillId="34" borderId="11" xfId="53" applyFont="1" applyFill="1" applyBorder="1" applyAlignment="1">
      <alignment horizontal="left" vertical="center"/>
      <protection/>
    </xf>
    <xf numFmtId="49" fontId="6" fillId="0" borderId="13" xfId="52" applyNumberFormat="1" applyFont="1" applyFill="1" applyBorder="1" applyAlignment="1">
      <alignment horizontal="left" vertical="center" wrapText="1"/>
      <protection/>
    </xf>
    <xf numFmtId="49" fontId="6" fillId="0" borderId="22" xfId="52" applyNumberFormat="1" applyFont="1" applyFill="1" applyBorder="1" applyAlignment="1">
      <alignment horizontal="left" vertical="center" wrapText="1"/>
      <protection/>
    </xf>
    <xf numFmtId="49" fontId="6" fillId="0" borderId="11" xfId="52" applyNumberFormat="1" applyFont="1" applyFill="1" applyBorder="1" applyAlignment="1">
      <alignment horizontal="left" vertical="center" wrapText="1"/>
      <protection/>
    </xf>
    <xf numFmtId="0" fontId="4" fillId="34" borderId="13" xfId="53" applyFont="1" applyFill="1" applyBorder="1" applyAlignment="1">
      <alignment horizontal="right" wrapText="1"/>
      <protection/>
    </xf>
    <xf numFmtId="0" fontId="4" fillId="34" borderId="22" xfId="53" applyFont="1" applyFill="1" applyBorder="1" applyAlignment="1">
      <alignment horizontal="right" wrapText="1"/>
      <protection/>
    </xf>
    <xf numFmtId="0" fontId="4" fillId="34" borderId="11" xfId="53" applyFont="1" applyFill="1" applyBorder="1" applyAlignment="1">
      <alignment horizontal="right" wrapText="1"/>
      <protection/>
    </xf>
    <xf numFmtId="49" fontId="4" fillId="0" borderId="15" xfId="53" applyNumberFormat="1" applyFont="1" applyBorder="1" applyAlignment="1">
      <alignment horizontal="center"/>
      <protection/>
    </xf>
    <xf numFmtId="49" fontId="4" fillId="0" borderId="17" xfId="53" applyNumberFormat="1" applyFont="1" applyBorder="1" applyAlignment="1">
      <alignment horizontal="center"/>
      <protection/>
    </xf>
    <xf numFmtId="164" fontId="4" fillId="33" borderId="31" xfId="52" applyNumberFormat="1" applyFont="1" applyFill="1" applyBorder="1" applyAlignment="1">
      <alignment horizontal="center" wrapText="1"/>
      <protection/>
    </xf>
    <xf numFmtId="164" fontId="4" fillId="33" borderId="23" xfId="52" applyNumberFormat="1" applyFont="1" applyFill="1" applyBorder="1" applyAlignment="1">
      <alignment horizontal="center" wrapText="1"/>
      <protection/>
    </xf>
    <xf numFmtId="164" fontId="4" fillId="33" borderId="30" xfId="52" applyNumberFormat="1" applyFont="1" applyFill="1" applyBorder="1" applyAlignment="1">
      <alignment horizontal="center" wrapText="1"/>
      <protection/>
    </xf>
    <xf numFmtId="164" fontId="4" fillId="33" borderId="33" xfId="52" applyNumberFormat="1" applyFont="1" applyFill="1" applyBorder="1" applyAlignment="1">
      <alignment horizontal="center" wrapText="1"/>
      <protection/>
    </xf>
    <xf numFmtId="164" fontId="4" fillId="33" borderId="34" xfId="52" applyNumberFormat="1" applyFont="1" applyFill="1" applyBorder="1" applyAlignment="1">
      <alignment horizontal="center" wrapText="1"/>
      <protection/>
    </xf>
    <xf numFmtId="164" fontId="4" fillId="33" borderId="16" xfId="52" applyNumberFormat="1" applyFont="1" applyFill="1" applyBorder="1" applyAlignment="1">
      <alignment horizontal="center" wrapText="1"/>
      <protection/>
    </xf>
    <xf numFmtId="0" fontId="4" fillId="34" borderId="13" xfId="53" applyFont="1" applyFill="1" applyBorder="1" applyAlignment="1">
      <alignment horizontal="center"/>
      <protection/>
    </xf>
    <xf numFmtId="0" fontId="4" fillId="34" borderId="22" xfId="53" applyFont="1" applyFill="1" applyBorder="1" applyAlignment="1">
      <alignment horizontal="center"/>
      <protection/>
    </xf>
    <xf numFmtId="0" fontId="4" fillId="34" borderId="11" xfId="53" applyFont="1" applyFill="1" applyBorder="1" applyAlignment="1">
      <alignment horizontal="center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22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top" wrapText="1"/>
      <protection/>
    </xf>
    <xf numFmtId="0" fontId="4" fillId="34" borderId="22" xfId="53" applyFont="1" applyFill="1" applyBorder="1" applyAlignment="1">
      <alignment horizontal="center" vertical="top" wrapText="1"/>
      <protection/>
    </xf>
    <xf numFmtId="0" fontId="4" fillId="34" borderId="11" xfId="53" applyFont="1" applyFill="1" applyBorder="1" applyAlignment="1">
      <alignment horizontal="center" vertical="top" wrapText="1"/>
      <protection/>
    </xf>
    <xf numFmtId="0" fontId="12" fillId="34" borderId="13" xfId="53" applyFont="1" applyFill="1" applyBorder="1" applyAlignment="1">
      <alignment horizontal="center" vertical="center" wrapText="1"/>
      <protection/>
    </xf>
    <xf numFmtId="0" fontId="12" fillId="34" borderId="22" xfId="53" applyFont="1" applyFill="1" applyBorder="1" applyAlignment="1">
      <alignment horizontal="center" vertical="center" wrapText="1"/>
      <protection/>
    </xf>
    <xf numFmtId="0" fontId="12" fillId="34" borderId="11" xfId="53" applyFont="1" applyFill="1" applyBorder="1" applyAlignment="1">
      <alignment horizontal="center" vertical="center" wrapText="1"/>
      <protection/>
    </xf>
    <xf numFmtId="0" fontId="9" fillId="0" borderId="15" xfId="55" applyFont="1" applyBorder="1" applyAlignment="1">
      <alignment horizontal="center" vertical="center" wrapText="1"/>
      <protection/>
    </xf>
    <xf numFmtId="0" fontId="9" fillId="0" borderId="17" xfId="55" applyFont="1" applyBorder="1" applyAlignment="1">
      <alignment horizontal="center" vertical="center" wrapText="1"/>
      <protection/>
    </xf>
    <xf numFmtId="164" fontId="9" fillId="0" borderId="31" xfId="52" applyNumberFormat="1" applyFont="1" applyFill="1" applyBorder="1" applyAlignment="1">
      <alignment horizontal="center" vertical="center" wrapText="1"/>
      <protection/>
    </xf>
    <xf numFmtId="164" fontId="9" fillId="0" borderId="23" xfId="52" applyNumberFormat="1" applyFont="1" applyFill="1" applyBorder="1" applyAlignment="1">
      <alignment horizontal="center" vertical="center" wrapText="1"/>
      <protection/>
    </xf>
    <xf numFmtId="164" fontId="9" fillId="0" borderId="30" xfId="52" applyNumberFormat="1" applyFont="1" applyFill="1" applyBorder="1" applyAlignment="1">
      <alignment horizontal="center" vertical="center" wrapText="1"/>
      <protection/>
    </xf>
    <xf numFmtId="164" fontId="9" fillId="0" borderId="33" xfId="52" applyNumberFormat="1" applyFont="1" applyFill="1" applyBorder="1" applyAlignment="1">
      <alignment horizontal="center" vertical="center" wrapText="1"/>
      <protection/>
    </xf>
    <xf numFmtId="164" fontId="9" fillId="0" borderId="34" xfId="52" applyNumberFormat="1" applyFont="1" applyFill="1" applyBorder="1" applyAlignment="1">
      <alignment horizontal="center" vertical="center" wrapText="1"/>
      <protection/>
    </xf>
    <xf numFmtId="164" fontId="9" fillId="0" borderId="16" xfId="52" applyNumberFormat="1" applyFont="1" applyFill="1" applyBorder="1" applyAlignment="1">
      <alignment horizontal="center" vertical="center" wrapText="1"/>
      <protection/>
    </xf>
    <xf numFmtId="164" fontId="9" fillId="0" borderId="15" xfId="52" applyNumberFormat="1" applyFont="1" applyFill="1" applyBorder="1" applyAlignment="1">
      <alignment horizontal="center" vertical="center" wrapText="1"/>
      <protection/>
    </xf>
    <xf numFmtId="164" fontId="9" fillId="0" borderId="17" xfId="52" applyNumberFormat="1" applyFont="1" applyFill="1" applyBorder="1" applyAlignment="1">
      <alignment horizontal="center" vertical="center" wrapText="1"/>
      <protection/>
    </xf>
    <xf numFmtId="0" fontId="9" fillId="0" borderId="15" xfId="52" applyFont="1" applyBorder="1" applyAlignment="1">
      <alignment horizontal="center" vertical="center" wrapText="1"/>
      <protection/>
    </xf>
    <xf numFmtId="0" fontId="9" fillId="0" borderId="17" xfId="52" applyFont="1" applyBorder="1" applyAlignment="1">
      <alignment horizontal="center" vertical="center" wrapText="1"/>
      <protection/>
    </xf>
    <xf numFmtId="0" fontId="9" fillId="0" borderId="13" xfId="55" applyFont="1" applyBorder="1" applyAlignment="1">
      <alignment horizontal="center" vertical="center" wrapText="1"/>
      <protection/>
    </xf>
    <xf numFmtId="0" fontId="9" fillId="0" borderId="22" xfId="55" applyFont="1" applyBorder="1" applyAlignment="1">
      <alignment horizontal="center" vertical="center" wrapText="1"/>
      <protection/>
    </xf>
    <xf numFmtId="0" fontId="9" fillId="0" borderId="11" xfId="55" applyFont="1" applyBorder="1" applyAlignment="1">
      <alignment horizontal="center" vertical="center" wrapText="1"/>
      <protection/>
    </xf>
    <xf numFmtId="0" fontId="4" fillId="33" borderId="34" xfId="55" applyFont="1" applyFill="1" applyBorder="1" applyAlignment="1">
      <alignment vertical="center" wrapText="1"/>
      <protection/>
    </xf>
    <xf numFmtId="0" fontId="4" fillId="33" borderId="16" xfId="55" applyFont="1" applyFill="1" applyBorder="1" applyAlignment="1">
      <alignment vertical="center" wrapText="1"/>
      <protection/>
    </xf>
    <xf numFmtId="0" fontId="4" fillId="0" borderId="0" xfId="52" applyFont="1" applyAlignment="1">
      <alignment vertical="center" wrapText="1"/>
      <protection/>
    </xf>
    <xf numFmtId="0" fontId="4" fillId="0" borderId="0" xfId="52" applyFont="1" applyBorder="1" applyAlignment="1">
      <alignment vertical="center" wrapText="1"/>
      <protection/>
    </xf>
    <xf numFmtId="0" fontId="4" fillId="0" borderId="22" xfId="52" applyFont="1" applyBorder="1" applyAlignment="1">
      <alignment vertical="center" wrapText="1"/>
      <protection/>
    </xf>
    <xf numFmtId="0" fontId="4" fillId="0" borderId="11" xfId="52" applyFont="1" applyBorder="1" applyAlignment="1">
      <alignment vertical="center" wrapText="1"/>
      <protection/>
    </xf>
    <xf numFmtId="0" fontId="4" fillId="34" borderId="11" xfId="53" applyFont="1" applyFill="1" applyBorder="1" applyAlignment="1">
      <alignment horizontal="left"/>
      <protection/>
    </xf>
    <xf numFmtId="0" fontId="4" fillId="34" borderId="13" xfId="53" applyFont="1" applyFill="1" applyBorder="1" applyAlignment="1">
      <alignment vertical="center" wrapText="1"/>
      <protection/>
    </xf>
    <xf numFmtId="0" fontId="4" fillId="34" borderId="22" xfId="53" applyFont="1" applyFill="1" applyBorder="1" applyAlignment="1">
      <alignment vertical="center" wrapText="1"/>
      <protection/>
    </xf>
    <xf numFmtId="0" fontId="4" fillId="34" borderId="11" xfId="53" applyFont="1" applyFill="1" applyBorder="1" applyAlignment="1">
      <alignment vertical="center" wrapText="1"/>
      <protection/>
    </xf>
    <xf numFmtId="0" fontId="4" fillId="0" borderId="13" xfId="53" applyFont="1" applyFill="1" applyBorder="1" applyAlignment="1">
      <alignment horizontal="left" vertical="center" wrapText="1"/>
      <protection/>
    </xf>
    <xf numFmtId="0" fontId="4" fillId="0" borderId="22" xfId="53" applyFont="1" applyFill="1" applyBorder="1" applyAlignment="1">
      <alignment horizontal="left" vertical="center" wrapText="1"/>
      <protection/>
    </xf>
    <xf numFmtId="0" fontId="4" fillId="0" borderId="11" xfId="53" applyFont="1" applyFill="1" applyBorder="1" applyAlignment="1">
      <alignment horizontal="lef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7"/>
  <sheetViews>
    <sheetView zoomScale="90" zoomScaleNormal="90" zoomScalePageLayoutView="0" workbookViewId="0" topLeftCell="A163">
      <selection activeCell="R149" sqref="R149"/>
    </sheetView>
  </sheetViews>
  <sheetFormatPr defaultColWidth="9.140625" defaultRowHeight="15"/>
  <cols>
    <col min="1" max="1" width="4.140625" style="2" customWidth="1"/>
    <col min="2" max="3" width="9.140625" style="2" customWidth="1"/>
    <col min="4" max="4" width="5.421875" style="2" customWidth="1"/>
    <col min="5" max="5" width="13.57421875" style="2" customWidth="1"/>
    <col min="6" max="6" width="12.7109375" style="2" customWidth="1"/>
    <col min="7" max="7" width="13.28125" style="2" customWidth="1"/>
    <col min="8" max="8" width="9.7109375" style="2" customWidth="1"/>
    <col min="9" max="9" width="8.57421875" style="2" customWidth="1"/>
    <col min="10" max="10" width="9.28125" style="2" customWidth="1"/>
    <col min="11" max="11" width="13.00390625" style="2" customWidth="1"/>
    <col min="12" max="12" width="14.00390625" style="2" customWidth="1"/>
    <col min="13" max="13" width="12.7109375" style="2" customWidth="1"/>
    <col min="14" max="14" width="14.8515625" style="2" customWidth="1"/>
    <col min="15" max="15" width="8.140625" style="2" customWidth="1"/>
    <col min="16" max="16" width="9.421875" style="2" customWidth="1"/>
    <col min="17" max="17" width="9.140625" style="2" customWidth="1"/>
    <col min="18" max="18" width="11.7109375" style="2" customWidth="1"/>
    <col min="19" max="19" width="11.140625" style="2" bestFit="1" customWidth="1"/>
    <col min="20" max="16384" width="9.140625" style="2" customWidth="1"/>
  </cols>
  <sheetData>
    <row r="1" spans="1:16" ht="15">
      <c r="A1" s="1"/>
      <c r="B1" s="318" t="s">
        <v>0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</row>
    <row r="2" spans="1:16" ht="15">
      <c r="A2" s="1"/>
      <c r="B2" s="319" t="s">
        <v>208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</row>
    <row r="3" spans="1:16" ht="24.75" customHeight="1" thickBot="1">
      <c r="A3" s="1"/>
      <c r="B3" s="320" t="s">
        <v>1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</row>
    <row r="4" spans="1:16" ht="15.75" thickBot="1">
      <c r="A4" s="1"/>
      <c r="B4" s="321" t="s">
        <v>2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</row>
    <row r="5" spans="1:16" ht="20.25" customHeight="1" thickBot="1">
      <c r="A5" s="3"/>
      <c r="B5" s="322" t="s">
        <v>209</v>
      </c>
      <c r="C5" s="323"/>
      <c r="D5" s="323"/>
      <c r="E5" s="324"/>
      <c r="F5" s="325"/>
      <c r="G5" s="325"/>
      <c r="H5" s="325"/>
      <c r="I5" s="325"/>
      <c r="J5" s="325"/>
      <c r="K5" s="325"/>
      <c r="L5" s="325"/>
      <c r="M5" s="325"/>
      <c r="N5" s="325"/>
      <c r="O5" s="326"/>
      <c r="P5" s="4">
        <v>9380.24</v>
      </c>
    </row>
    <row r="6" spans="1:16" ht="20.25" customHeight="1" thickBot="1">
      <c r="A6" s="3"/>
      <c r="B6" s="322" t="s">
        <v>209</v>
      </c>
      <c r="C6" s="323"/>
      <c r="D6" s="323"/>
      <c r="E6" s="324"/>
      <c r="F6" s="325"/>
      <c r="G6" s="325"/>
      <c r="H6" s="325"/>
      <c r="I6" s="325"/>
      <c r="J6" s="325"/>
      <c r="K6" s="325"/>
      <c r="L6" s="325"/>
      <c r="M6" s="325"/>
      <c r="N6" s="325"/>
      <c r="O6" s="326"/>
      <c r="P6" s="5">
        <f>P10</f>
        <v>9380.239999999994</v>
      </c>
    </row>
    <row r="7" spans="1:16" ht="15.75" thickBot="1">
      <c r="A7" s="3"/>
      <c r="B7" s="332"/>
      <c r="C7" s="333"/>
      <c r="D7" s="333"/>
      <c r="E7" s="334"/>
      <c r="F7" s="335"/>
      <c r="G7" s="335"/>
      <c r="H7" s="335"/>
      <c r="I7" s="335"/>
      <c r="J7" s="335"/>
      <c r="K7" s="335"/>
      <c r="L7" s="335"/>
      <c r="M7" s="335"/>
      <c r="N7" s="336"/>
      <c r="O7" s="336"/>
      <c r="P7" s="337"/>
    </row>
    <row r="8" spans="1:16" ht="75.75" thickBot="1">
      <c r="A8" s="6"/>
      <c r="B8" s="322" t="s">
        <v>3</v>
      </c>
      <c r="C8" s="323"/>
      <c r="D8" s="323"/>
      <c r="E8" s="324"/>
      <c r="F8" s="338" t="s">
        <v>4</v>
      </c>
      <c r="G8" s="339"/>
      <c r="H8" s="7" t="s">
        <v>5</v>
      </c>
      <c r="I8" s="338" t="s">
        <v>6</v>
      </c>
      <c r="J8" s="339"/>
      <c r="K8" s="8" t="s">
        <v>7</v>
      </c>
      <c r="L8" s="7" t="s">
        <v>8</v>
      </c>
      <c r="M8" s="9" t="s">
        <v>9</v>
      </c>
      <c r="N8" s="10" t="s">
        <v>10</v>
      </c>
      <c r="O8" s="11" t="s">
        <v>11</v>
      </c>
      <c r="P8" s="12"/>
    </row>
    <row r="9" spans="1:16" ht="23.25" customHeight="1" thickBot="1">
      <c r="A9" s="3"/>
      <c r="B9" s="327" t="s">
        <v>12</v>
      </c>
      <c r="C9" s="328"/>
      <c r="D9" s="328"/>
      <c r="E9" s="329"/>
      <c r="F9" s="330">
        <v>0</v>
      </c>
      <c r="G9" s="331"/>
      <c r="H9" s="4">
        <v>0</v>
      </c>
      <c r="I9" s="330">
        <v>0</v>
      </c>
      <c r="J9" s="331"/>
      <c r="K9" s="13">
        <v>0</v>
      </c>
      <c r="L9" s="4">
        <v>0</v>
      </c>
      <c r="M9" s="14">
        <v>0</v>
      </c>
      <c r="N9" s="4">
        <v>0</v>
      </c>
      <c r="O9" s="15">
        <v>0</v>
      </c>
      <c r="P9" s="5">
        <v>0</v>
      </c>
    </row>
    <row r="10" spans="1:16" ht="24.75" customHeight="1" thickBot="1">
      <c r="A10" s="3"/>
      <c r="B10" s="327" t="s">
        <v>13</v>
      </c>
      <c r="C10" s="328"/>
      <c r="D10" s="328"/>
      <c r="E10" s="329"/>
      <c r="F10" s="330">
        <v>-231105.85</v>
      </c>
      <c r="G10" s="331"/>
      <c r="H10" s="4">
        <v>0</v>
      </c>
      <c r="I10" s="330">
        <v>0</v>
      </c>
      <c r="J10" s="331"/>
      <c r="K10" s="13">
        <v>0</v>
      </c>
      <c r="L10" s="4">
        <v>209239</v>
      </c>
      <c r="M10" s="14">
        <v>0</v>
      </c>
      <c r="N10" s="4">
        <v>0</v>
      </c>
      <c r="O10" s="4">
        <v>31247.09</v>
      </c>
      <c r="P10" s="5">
        <f>SUM(F10:O10)</f>
        <v>9380.239999999994</v>
      </c>
    </row>
    <row r="11" spans="1:16" ht="18.75" customHeight="1" thickBot="1">
      <c r="A11" s="16"/>
      <c r="B11" s="360"/>
      <c r="C11" s="361"/>
      <c r="D11" s="361"/>
      <c r="E11" s="361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3"/>
    </row>
    <row r="12" spans="1:16" ht="15">
      <c r="A12" s="346"/>
      <c r="B12" s="364" t="s">
        <v>14</v>
      </c>
      <c r="C12" s="365"/>
      <c r="D12" s="365"/>
      <c r="E12" s="366"/>
      <c r="F12" s="340"/>
      <c r="G12" s="370" t="s">
        <v>15</v>
      </c>
      <c r="H12" s="362"/>
      <c r="I12" s="362"/>
      <c r="J12" s="362"/>
      <c r="K12" s="363"/>
      <c r="L12" s="340" t="s">
        <v>16</v>
      </c>
      <c r="M12" s="340" t="s">
        <v>17</v>
      </c>
      <c r="N12" s="340" t="s">
        <v>18</v>
      </c>
      <c r="O12" s="340" t="s">
        <v>19</v>
      </c>
      <c r="P12" s="340" t="s">
        <v>20</v>
      </c>
    </row>
    <row r="13" spans="1:16" ht="15.75" thickBot="1">
      <c r="A13" s="347"/>
      <c r="B13" s="367"/>
      <c r="C13" s="368"/>
      <c r="D13" s="368"/>
      <c r="E13" s="369"/>
      <c r="F13" s="341"/>
      <c r="G13" s="371"/>
      <c r="H13" s="372"/>
      <c r="I13" s="372"/>
      <c r="J13" s="372"/>
      <c r="K13" s="373"/>
      <c r="L13" s="341"/>
      <c r="M13" s="341"/>
      <c r="N13" s="341"/>
      <c r="O13" s="341"/>
      <c r="P13" s="341"/>
    </row>
    <row r="14" spans="1:16" ht="18" customHeight="1" thickBot="1">
      <c r="A14" s="3"/>
      <c r="B14" s="342" t="s">
        <v>21</v>
      </c>
      <c r="C14" s="343"/>
      <c r="D14" s="344"/>
      <c r="E14" s="17" t="s">
        <v>22</v>
      </c>
      <c r="F14" s="18">
        <v>3</v>
      </c>
      <c r="G14" s="345">
        <v>4</v>
      </c>
      <c r="H14" s="335"/>
      <c r="I14" s="335"/>
      <c r="J14" s="337"/>
      <c r="K14" s="19">
        <v>5</v>
      </c>
      <c r="L14" s="20">
        <v>6</v>
      </c>
      <c r="M14" s="7">
        <v>7</v>
      </c>
      <c r="N14" s="20">
        <v>8</v>
      </c>
      <c r="O14" s="20">
        <v>9</v>
      </c>
      <c r="P14" s="7">
        <v>10</v>
      </c>
    </row>
    <row r="15" spans="1:16" ht="29.25" thickBot="1">
      <c r="A15" s="346"/>
      <c r="B15" s="348" t="s">
        <v>23</v>
      </c>
      <c r="C15" s="349"/>
      <c r="D15" s="350"/>
      <c r="E15" s="21" t="s">
        <v>24</v>
      </c>
      <c r="F15" s="21" t="s">
        <v>25</v>
      </c>
      <c r="G15" s="354" t="s">
        <v>26</v>
      </c>
      <c r="H15" s="355"/>
      <c r="I15" s="355"/>
      <c r="J15" s="356"/>
      <c r="K15" s="22" t="s">
        <v>27</v>
      </c>
      <c r="L15" s="23" t="s">
        <v>26</v>
      </c>
      <c r="M15" s="24" t="s">
        <v>28</v>
      </c>
      <c r="N15" s="24" t="s">
        <v>26</v>
      </c>
      <c r="O15" s="24" t="s">
        <v>26</v>
      </c>
      <c r="P15" s="25" t="s">
        <v>26</v>
      </c>
    </row>
    <row r="16" spans="1:16" ht="29.25" customHeight="1" thickBot="1">
      <c r="A16" s="347"/>
      <c r="B16" s="351"/>
      <c r="C16" s="352"/>
      <c r="D16" s="353"/>
      <c r="E16" s="26">
        <f>SUM(E17:E23)</f>
        <v>1784061</v>
      </c>
      <c r="F16" s="27">
        <f>SUM(F17:F23)</f>
        <v>1784061</v>
      </c>
      <c r="G16" s="357">
        <f>G17+G18+G19+G20+G21+G22+G23</f>
        <v>1136489.4</v>
      </c>
      <c r="H16" s="358"/>
      <c r="I16" s="358"/>
      <c r="J16" s="359"/>
      <c r="K16" s="28">
        <f>SUM(K17:K23)</f>
        <v>1136489.4</v>
      </c>
      <c r="L16" s="28">
        <f>SUM(L17:L23)</f>
        <v>1136489.4</v>
      </c>
      <c r="M16" s="28">
        <f>SUM(M17:M23)</f>
        <v>647571.6</v>
      </c>
      <c r="N16" s="28">
        <f>SUM(N17:N23)</f>
        <v>647571.6</v>
      </c>
      <c r="O16" s="29">
        <v>0</v>
      </c>
      <c r="P16" s="29">
        <v>0</v>
      </c>
    </row>
    <row r="17" spans="1:18" ht="57.75" customHeight="1" thickBot="1">
      <c r="A17" s="30" t="s">
        <v>29</v>
      </c>
      <c r="B17" s="383" t="s">
        <v>30</v>
      </c>
      <c r="C17" s="384"/>
      <c r="D17" s="385"/>
      <c r="E17" s="154">
        <v>1359967</v>
      </c>
      <c r="F17" s="31">
        <f>0+E17</f>
        <v>1359967</v>
      </c>
      <c r="G17" s="377">
        <v>616000</v>
      </c>
      <c r="H17" s="378"/>
      <c r="I17" s="378"/>
      <c r="J17" s="379"/>
      <c r="K17" s="32">
        <f>G17</f>
        <v>616000</v>
      </c>
      <c r="L17" s="33">
        <f>0+K17</f>
        <v>616000</v>
      </c>
      <c r="M17" s="34">
        <f>E17-K17</f>
        <v>743967</v>
      </c>
      <c r="N17" s="35">
        <f>F17-L17</f>
        <v>743967</v>
      </c>
      <c r="O17" s="36">
        <v>0</v>
      </c>
      <c r="P17" s="36">
        <v>0</v>
      </c>
      <c r="Q17" s="1"/>
      <c r="R17" s="37"/>
    </row>
    <row r="18" spans="1:18" ht="42.75" customHeight="1" thickBot="1">
      <c r="A18" s="38" t="s">
        <v>31</v>
      </c>
      <c r="B18" s="386" t="s">
        <v>32</v>
      </c>
      <c r="C18" s="387"/>
      <c r="D18" s="388"/>
      <c r="E18" s="148">
        <v>414594</v>
      </c>
      <c r="F18" s="31">
        <f>0+E18</f>
        <v>414594</v>
      </c>
      <c r="G18" s="377">
        <v>414593.4</v>
      </c>
      <c r="H18" s="378"/>
      <c r="I18" s="378"/>
      <c r="J18" s="379"/>
      <c r="K18" s="32">
        <f>G18</f>
        <v>414593.4</v>
      </c>
      <c r="L18" s="33">
        <f>0+K18</f>
        <v>414593.4</v>
      </c>
      <c r="M18" s="34">
        <f>E18-K18</f>
        <v>0.5999999999767169</v>
      </c>
      <c r="N18" s="35">
        <f>F18-L18</f>
        <v>0.5999999999767169</v>
      </c>
      <c r="O18" s="36">
        <v>0</v>
      </c>
      <c r="P18" s="36">
        <v>0</v>
      </c>
      <c r="Q18" s="1"/>
      <c r="R18" s="1"/>
    </row>
    <row r="19" spans="1:18" ht="36" customHeight="1" thickBot="1">
      <c r="A19" s="38" t="s">
        <v>33</v>
      </c>
      <c r="B19" s="389" t="s">
        <v>34</v>
      </c>
      <c r="C19" s="390"/>
      <c r="D19" s="391"/>
      <c r="E19" s="39"/>
      <c r="F19" s="31">
        <f>0+E19</f>
        <v>0</v>
      </c>
      <c r="G19" s="377"/>
      <c r="H19" s="378"/>
      <c r="I19" s="378"/>
      <c r="J19" s="379"/>
      <c r="K19" s="32">
        <f>G19</f>
        <v>0</v>
      </c>
      <c r="L19" s="33">
        <f>0+K19</f>
        <v>0</v>
      </c>
      <c r="M19" s="34">
        <f aca="true" t="shared" si="0" ref="M19:N23">E19-K19</f>
        <v>0</v>
      </c>
      <c r="N19" s="35">
        <f t="shared" si="0"/>
        <v>0</v>
      </c>
      <c r="O19" s="36">
        <v>0</v>
      </c>
      <c r="P19" s="40">
        <v>0</v>
      </c>
      <c r="Q19" s="1"/>
      <c r="R19" s="1"/>
    </row>
    <row r="20" spans="1:18" ht="54" customHeight="1" thickBot="1">
      <c r="A20" s="41" t="s">
        <v>35</v>
      </c>
      <c r="B20" s="374" t="s">
        <v>36</v>
      </c>
      <c r="C20" s="375"/>
      <c r="D20" s="376"/>
      <c r="E20" s="42"/>
      <c r="F20" s="31">
        <f>0+E20</f>
        <v>0</v>
      </c>
      <c r="G20" s="377"/>
      <c r="H20" s="378"/>
      <c r="I20" s="378"/>
      <c r="J20" s="379"/>
      <c r="K20" s="32">
        <f>G20</f>
        <v>0</v>
      </c>
      <c r="L20" s="33">
        <f>0+K20</f>
        <v>0</v>
      </c>
      <c r="M20" s="34">
        <f t="shared" si="0"/>
        <v>0</v>
      </c>
      <c r="N20" s="35">
        <f t="shared" si="0"/>
        <v>0</v>
      </c>
      <c r="O20" s="36">
        <v>0</v>
      </c>
      <c r="P20" s="36">
        <v>0</v>
      </c>
      <c r="Q20" s="37"/>
      <c r="R20" s="37"/>
    </row>
    <row r="21" spans="1:18" ht="28.5" customHeight="1" thickBot="1">
      <c r="A21" s="43" t="s">
        <v>37</v>
      </c>
      <c r="B21" s="380" t="s">
        <v>38</v>
      </c>
      <c r="C21" s="381"/>
      <c r="D21" s="382"/>
      <c r="E21" s="44"/>
      <c r="F21" s="31">
        <f>0+E21</f>
        <v>0</v>
      </c>
      <c r="G21" s="377"/>
      <c r="H21" s="378"/>
      <c r="I21" s="378"/>
      <c r="J21" s="379"/>
      <c r="K21" s="32">
        <f>G21</f>
        <v>0</v>
      </c>
      <c r="L21" s="33">
        <f>0+K21</f>
        <v>0</v>
      </c>
      <c r="M21" s="34">
        <f t="shared" si="0"/>
        <v>0</v>
      </c>
      <c r="N21" s="35">
        <f t="shared" si="0"/>
        <v>0</v>
      </c>
      <c r="O21" s="36">
        <v>0</v>
      </c>
      <c r="P21" s="36">
        <v>0</v>
      </c>
      <c r="Q21" s="37"/>
      <c r="R21" s="1"/>
    </row>
    <row r="22" spans="1:18" ht="40.5" customHeight="1" thickBot="1">
      <c r="A22" s="43" t="s">
        <v>39</v>
      </c>
      <c r="B22" s="383" t="s">
        <v>40</v>
      </c>
      <c r="C22" s="384"/>
      <c r="D22" s="385"/>
      <c r="E22" s="149">
        <v>9500</v>
      </c>
      <c r="F22" s="31">
        <f>0+E22</f>
        <v>9500</v>
      </c>
      <c r="G22" s="377">
        <v>810</v>
      </c>
      <c r="H22" s="378"/>
      <c r="I22" s="378"/>
      <c r="J22" s="379"/>
      <c r="K22" s="32">
        <f>G22</f>
        <v>810</v>
      </c>
      <c r="L22" s="33">
        <f>0+K22</f>
        <v>810</v>
      </c>
      <c r="M22" s="34">
        <f>E22-K22</f>
        <v>8690</v>
      </c>
      <c r="N22" s="35">
        <f t="shared" si="0"/>
        <v>8690</v>
      </c>
      <c r="O22" s="36">
        <v>0</v>
      </c>
      <c r="P22" s="36">
        <v>0</v>
      </c>
      <c r="Q22" s="1"/>
      <c r="R22" s="1"/>
    </row>
    <row r="23" spans="1:18" ht="29.25" customHeight="1" thickBot="1">
      <c r="A23" s="43" t="s">
        <v>41</v>
      </c>
      <c r="B23" s="392" t="s">
        <v>42</v>
      </c>
      <c r="C23" s="393"/>
      <c r="D23" s="394"/>
      <c r="E23" s="46"/>
      <c r="F23" s="31"/>
      <c r="G23" s="377">
        <v>105086</v>
      </c>
      <c r="H23" s="378"/>
      <c r="I23" s="378"/>
      <c r="J23" s="379"/>
      <c r="K23" s="32">
        <f>G23</f>
        <v>105086</v>
      </c>
      <c r="L23" s="33">
        <f>0+K23</f>
        <v>105086</v>
      </c>
      <c r="M23" s="34">
        <f t="shared" si="0"/>
        <v>-105086</v>
      </c>
      <c r="N23" s="35">
        <f t="shared" si="0"/>
        <v>-105086</v>
      </c>
      <c r="O23" s="36">
        <v>0</v>
      </c>
      <c r="P23" s="36">
        <v>0</v>
      </c>
      <c r="Q23" s="1"/>
      <c r="R23" s="1"/>
    </row>
    <row r="24" spans="1:18" ht="15">
      <c r="A24" s="346"/>
      <c r="B24" s="395" t="s">
        <v>43</v>
      </c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7"/>
      <c r="Q24" s="1"/>
      <c r="R24" s="1"/>
    </row>
    <row r="25" spans="1:18" ht="4.5" customHeight="1" thickBot="1">
      <c r="A25" s="347"/>
      <c r="B25" s="398"/>
      <c r="C25" s="399"/>
      <c r="D25" s="399"/>
      <c r="E25" s="399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400"/>
      <c r="Q25" s="1"/>
      <c r="R25" s="1"/>
    </row>
    <row r="26" spans="1:18" ht="15.75" thickBot="1">
      <c r="A26" s="346"/>
      <c r="B26" s="364" t="s">
        <v>14</v>
      </c>
      <c r="C26" s="365"/>
      <c r="D26" s="366"/>
      <c r="E26" s="401" t="s">
        <v>24</v>
      </c>
      <c r="F26" s="403" t="s">
        <v>25</v>
      </c>
      <c r="G26" s="338" t="s">
        <v>44</v>
      </c>
      <c r="H26" s="321"/>
      <c r="I26" s="321"/>
      <c r="J26" s="321"/>
      <c r="K26" s="339"/>
      <c r="L26" s="340" t="s">
        <v>16</v>
      </c>
      <c r="M26" s="340" t="s">
        <v>17</v>
      </c>
      <c r="N26" s="340" t="s">
        <v>18</v>
      </c>
      <c r="O26" s="340" t="s">
        <v>19</v>
      </c>
      <c r="P26" s="340" t="s">
        <v>20</v>
      </c>
      <c r="Q26" s="1"/>
      <c r="R26" s="1"/>
    </row>
    <row r="27" spans="1:18" ht="71.25" customHeight="1" thickBot="1">
      <c r="A27" s="347"/>
      <c r="B27" s="367"/>
      <c r="C27" s="368"/>
      <c r="D27" s="369"/>
      <c r="E27" s="402"/>
      <c r="F27" s="404"/>
      <c r="G27" s="47" t="s">
        <v>45</v>
      </c>
      <c r="H27" s="47" t="s">
        <v>46</v>
      </c>
      <c r="I27" s="47" t="s">
        <v>47</v>
      </c>
      <c r="J27" s="7" t="s">
        <v>48</v>
      </c>
      <c r="K27" s="8" t="s">
        <v>27</v>
      </c>
      <c r="L27" s="341"/>
      <c r="M27" s="341"/>
      <c r="N27" s="341"/>
      <c r="O27" s="341"/>
      <c r="P27" s="341"/>
      <c r="Q27" s="1"/>
      <c r="R27" s="37"/>
    </row>
    <row r="28" spans="1:18" ht="15.75" thickBot="1">
      <c r="A28" s="3"/>
      <c r="B28" s="342">
        <v>1</v>
      </c>
      <c r="C28" s="343"/>
      <c r="D28" s="344"/>
      <c r="E28" s="17" t="s">
        <v>22</v>
      </c>
      <c r="F28" s="47">
        <v>3</v>
      </c>
      <c r="G28" s="47">
        <v>4</v>
      </c>
      <c r="H28" s="47">
        <v>5</v>
      </c>
      <c r="I28" s="7">
        <v>6</v>
      </c>
      <c r="J28" s="7">
        <v>7</v>
      </c>
      <c r="K28" s="48">
        <v>8</v>
      </c>
      <c r="L28" s="20">
        <v>9</v>
      </c>
      <c r="M28" s="7">
        <v>10</v>
      </c>
      <c r="N28" s="20">
        <v>11</v>
      </c>
      <c r="O28" s="7">
        <v>12</v>
      </c>
      <c r="P28" s="20">
        <v>13</v>
      </c>
      <c r="Q28" s="1"/>
      <c r="R28" s="1"/>
    </row>
    <row r="29" spans="1:18" ht="15.75" thickBot="1">
      <c r="A29" s="3"/>
      <c r="B29" s="345" t="s">
        <v>23</v>
      </c>
      <c r="C29" s="335"/>
      <c r="D29" s="337"/>
      <c r="E29" s="49">
        <f>E30+E34+E38+E44+E51+E54+E64+E67+E71+E74+E78+E80+E88+E101+E132+E135+E138+E141</f>
        <v>1784061</v>
      </c>
      <c r="F29" s="49">
        <f>F30+F34+F38+F44+F51+F54+F64+F67+F71+F74+F78+F80+F88+F101+F132+F135+F138+F141</f>
        <v>1784061</v>
      </c>
      <c r="G29" s="49">
        <f>G30+G34+G38+G44+G51+G54+G64+G67+G71+G74+G78+G80+G88+G101+G132+G135+G138+G141</f>
        <v>409188.32999999996</v>
      </c>
      <c r="H29" s="49">
        <f>H30+H34+H38+H44+H51+H54+H64+H67+H71+H74+H78+H80+H88+H101+H132+H135+H138+H141</f>
        <v>0</v>
      </c>
      <c r="I29" s="49">
        <f>I30+I34+I38+I44+I51+I54+I64+I67+I71+I74+I78+I80+I88+I101+I132+I135+I138+I141</f>
        <v>0</v>
      </c>
      <c r="J29" s="49">
        <f>J30+J34+J38+J44+J51+J54+J64+J67+J71+J74+J78+J80+J88+J101+J132+J135+J138+J141</f>
        <v>0</v>
      </c>
      <c r="K29" s="49">
        <f>K30+K34+K38+K44+K51+K54+K64+K67+K71+K74+K78+K80+K88+K101+K132+K135+K138+K141</f>
        <v>409188.32999999996</v>
      </c>
      <c r="L29" s="49">
        <f>L30+L34+L38+L44+L51+L54+L64+L67+L71+L74+L78+L80+L88+L101+L132+L135+L138+L141</f>
        <v>407076.32999999996</v>
      </c>
      <c r="M29" s="49">
        <f>M30+M34+M38+M44+M51+M54+M64+M67+M71+M74+M78+M80+M88+M101+M132+M135+M138+M141</f>
        <v>1374872.67</v>
      </c>
      <c r="N29" s="49">
        <f>N30+N34+N38+N44+N51+N54+N64+N67+N71+N74+N78+N80+N88+N101+N132+N135+N138+N141</f>
        <v>1376984.67</v>
      </c>
      <c r="O29" s="50">
        <v>0</v>
      </c>
      <c r="P29" s="50">
        <v>0</v>
      </c>
      <c r="Q29" s="1"/>
      <c r="R29" s="37"/>
    </row>
    <row r="30" spans="1:18" ht="18.75" customHeight="1" thickBot="1">
      <c r="A30" s="51" t="s">
        <v>21</v>
      </c>
      <c r="B30" s="417" t="s">
        <v>49</v>
      </c>
      <c r="C30" s="418"/>
      <c r="D30" s="419"/>
      <c r="E30" s="52">
        <f>SUM(E31:E32)</f>
        <v>776802</v>
      </c>
      <c r="F30" s="53">
        <f>F31+F32+F33</f>
        <v>776802</v>
      </c>
      <c r="G30" s="54">
        <f>G31+G32+G33</f>
        <v>192503.58</v>
      </c>
      <c r="H30" s="54">
        <f>H31</f>
        <v>0</v>
      </c>
      <c r="I30" s="54"/>
      <c r="J30" s="54"/>
      <c r="K30" s="53">
        <f>G30+H30</f>
        <v>192503.58</v>
      </c>
      <c r="L30" s="55">
        <f>L31+L32</f>
        <v>192503.58</v>
      </c>
      <c r="M30" s="56">
        <f>E30-K30</f>
        <v>584298.42</v>
      </c>
      <c r="N30" s="57">
        <f>F30-L30</f>
        <v>584298.42</v>
      </c>
      <c r="O30" s="58">
        <v>0</v>
      </c>
      <c r="P30" s="59">
        <v>0</v>
      </c>
      <c r="Q30" s="37"/>
      <c r="R30" s="37"/>
    </row>
    <row r="31" spans="1:18" ht="21.75" customHeight="1" thickBot="1">
      <c r="A31" s="60" t="s">
        <v>50</v>
      </c>
      <c r="B31" s="411" t="s">
        <v>51</v>
      </c>
      <c r="C31" s="412"/>
      <c r="D31" s="413"/>
      <c r="E31" s="150">
        <v>344920</v>
      </c>
      <c r="F31" s="31">
        <f>0+E31</f>
        <v>344920</v>
      </c>
      <c r="G31" s="62"/>
      <c r="H31" s="62"/>
      <c r="I31" s="62"/>
      <c r="J31" s="62"/>
      <c r="K31" s="45">
        <f>H31</f>
        <v>0</v>
      </c>
      <c r="L31" s="33">
        <f>0+K31</f>
        <v>0</v>
      </c>
      <c r="M31" s="34">
        <f>E31-K31</f>
        <v>344920</v>
      </c>
      <c r="N31" s="63">
        <f>F31-L31</f>
        <v>344920</v>
      </c>
      <c r="O31" s="64">
        <v>0</v>
      </c>
      <c r="P31" s="65">
        <v>0</v>
      </c>
      <c r="Q31" s="37"/>
      <c r="R31" s="37"/>
    </row>
    <row r="32" spans="1:18" ht="28.5" customHeight="1" thickBot="1">
      <c r="A32" s="60" t="s">
        <v>52</v>
      </c>
      <c r="B32" s="405" t="s">
        <v>53</v>
      </c>
      <c r="C32" s="406"/>
      <c r="D32" s="407"/>
      <c r="E32" s="150">
        <v>431882</v>
      </c>
      <c r="F32" s="31">
        <f>0+E32</f>
        <v>431882</v>
      </c>
      <c r="G32" s="62">
        <v>192503.58</v>
      </c>
      <c r="H32" s="62"/>
      <c r="I32" s="62"/>
      <c r="J32" s="62"/>
      <c r="K32" s="33">
        <f>0+G32</f>
        <v>192503.58</v>
      </c>
      <c r="L32" s="33">
        <f>0+K32</f>
        <v>192503.58</v>
      </c>
      <c r="M32" s="34">
        <f>E32-K32</f>
        <v>239378.42</v>
      </c>
      <c r="N32" s="63">
        <f>F32-L32</f>
        <v>239378.42</v>
      </c>
      <c r="O32" s="64">
        <v>0</v>
      </c>
      <c r="P32" s="65">
        <v>0</v>
      </c>
      <c r="Q32" s="37"/>
      <c r="R32" s="37"/>
    </row>
    <row r="33" spans="1:18" ht="30" customHeight="1" thickBot="1">
      <c r="A33" s="60" t="s">
        <v>54</v>
      </c>
      <c r="B33" s="405" t="s">
        <v>55</v>
      </c>
      <c r="C33" s="406"/>
      <c r="D33" s="407"/>
      <c r="E33" s="66"/>
      <c r="F33" s="33"/>
      <c r="G33" s="62"/>
      <c r="H33" s="62"/>
      <c r="I33" s="62"/>
      <c r="J33" s="62"/>
      <c r="K33" s="45"/>
      <c r="L33" s="33"/>
      <c r="M33" s="67"/>
      <c r="N33" s="68"/>
      <c r="O33" s="64"/>
      <c r="P33" s="65"/>
      <c r="Q33" s="37"/>
      <c r="R33" s="37"/>
    </row>
    <row r="34" spans="1:18" ht="32.25" customHeight="1" thickBot="1">
      <c r="A34" s="69" t="s">
        <v>22</v>
      </c>
      <c r="B34" s="408" t="s">
        <v>56</v>
      </c>
      <c r="C34" s="409"/>
      <c r="D34" s="410"/>
      <c r="E34" s="53">
        <f>SUM(E35:E37)</f>
        <v>156914</v>
      </c>
      <c r="F34" s="53">
        <f>F35+F36+F37</f>
        <v>156914</v>
      </c>
      <c r="G34" s="54">
        <f>G35+G36+G37</f>
        <v>23000</v>
      </c>
      <c r="H34" s="54">
        <f>H35</f>
        <v>0</v>
      </c>
      <c r="I34" s="54"/>
      <c r="J34" s="54"/>
      <c r="K34" s="53">
        <f>G34+H34</f>
        <v>23000</v>
      </c>
      <c r="L34" s="55">
        <f>L35+L36</f>
        <v>23000</v>
      </c>
      <c r="M34" s="56">
        <f aca="true" t="shared" si="1" ref="M34:N36">E34-K34</f>
        <v>133914</v>
      </c>
      <c r="N34" s="70">
        <f t="shared" si="1"/>
        <v>133914</v>
      </c>
      <c r="O34" s="58">
        <v>0</v>
      </c>
      <c r="P34" s="59">
        <v>0</v>
      </c>
      <c r="Q34" s="1"/>
      <c r="R34" s="1"/>
    </row>
    <row r="35" spans="1:18" ht="21" customHeight="1" thickBot="1">
      <c r="A35" s="60" t="s">
        <v>57</v>
      </c>
      <c r="B35" s="411" t="s">
        <v>51</v>
      </c>
      <c r="C35" s="412"/>
      <c r="D35" s="413"/>
      <c r="E35" s="151">
        <v>69674</v>
      </c>
      <c r="F35" s="31">
        <f>0+E35</f>
        <v>69674</v>
      </c>
      <c r="G35" s="62"/>
      <c r="H35" s="62"/>
      <c r="I35" s="62"/>
      <c r="J35" s="62"/>
      <c r="K35" s="45">
        <f>H35</f>
        <v>0</v>
      </c>
      <c r="L35" s="33">
        <f>0+K35</f>
        <v>0</v>
      </c>
      <c r="M35" s="34">
        <f t="shared" si="1"/>
        <v>69674</v>
      </c>
      <c r="N35" s="63">
        <f t="shared" si="1"/>
        <v>69674</v>
      </c>
      <c r="O35" s="64">
        <v>0</v>
      </c>
      <c r="P35" s="65">
        <v>0</v>
      </c>
      <c r="Q35" s="1"/>
      <c r="R35" s="71"/>
    </row>
    <row r="36" spans="1:18" ht="30" customHeight="1" thickBot="1">
      <c r="A36" s="60" t="s">
        <v>58</v>
      </c>
      <c r="B36" s="405" t="s">
        <v>53</v>
      </c>
      <c r="C36" s="406"/>
      <c r="D36" s="407"/>
      <c r="E36" s="151">
        <v>87240</v>
      </c>
      <c r="F36" s="31">
        <f>0+E36</f>
        <v>87240</v>
      </c>
      <c r="G36" s="62">
        <v>23000</v>
      </c>
      <c r="H36" s="62"/>
      <c r="I36" s="62"/>
      <c r="J36" s="62"/>
      <c r="K36" s="45">
        <f>G36</f>
        <v>23000</v>
      </c>
      <c r="L36" s="33">
        <f>0+K36</f>
        <v>23000</v>
      </c>
      <c r="M36" s="34">
        <f>E36-K36</f>
        <v>64240</v>
      </c>
      <c r="N36" s="63">
        <f t="shared" si="1"/>
        <v>64240</v>
      </c>
      <c r="O36" s="64">
        <v>0</v>
      </c>
      <c r="P36" s="65">
        <v>0</v>
      </c>
      <c r="Q36" s="1"/>
      <c r="R36" s="1"/>
    </row>
    <row r="37" spans="1:18" ht="29.25" customHeight="1" thickBot="1">
      <c r="A37" s="60" t="s">
        <v>59</v>
      </c>
      <c r="B37" s="405" t="s">
        <v>55</v>
      </c>
      <c r="C37" s="406"/>
      <c r="D37" s="407"/>
      <c r="E37" s="45"/>
      <c r="F37" s="31"/>
      <c r="G37" s="62"/>
      <c r="H37" s="62"/>
      <c r="I37" s="62"/>
      <c r="J37" s="62"/>
      <c r="K37" s="45"/>
      <c r="L37" s="33"/>
      <c r="M37" s="67"/>
      <c r="N37" s="72"/>
      <c r="O37" s="64"/>
      <c r="P37" s="65"/>
      <c r="Q37" s="1"/>
      <c r="R37" s="1"/>
    </row>
    <row r="38" spans="1:18" ht="29.25" customHeight="1" thickBot="1">
      <c r="A38" s="51" t="s">
        <v>60</v>
      </c>
      <c r="B38" s="408" t="s">
        <v>61</v>
      </c>
      <c r="C38" s="409"/>
      <c r="D38" s="410"/>
      <c r="E38" s="53">
        <f>SUM(E41:E43)</f>
        <v>8065</v>
      </c>
      <c r="F38" s="73">
        <f>F41+F42+F43</f>
        <v>8065</v>
      </c>
      <c r="G38" s="54">
        <f>G40</f>
        <v>7885.71</v>
      </c>
      <c r="H38" s="54"/>
      <c r="I38" s="54"/>
      <c r="J38" s="54"/>
      <c r="K38" s="55">
        <f>K39+K40</f>
        <v>7885.71</v>
      </c>
      <c r="L38" s="55">
        <f>L40+L39</f>
        <v>5773.71</v>
      </c>
      <c r="M38" s="56">
        <f>E38-K38</f>
        <v>179.28999999999996</v>
      </c>
      <c r="N38" s="57">
        <f>F38-L38</f>
        <v>2291.29</v>
      </c>
      <c r="O38" s="58">
        <v>0</v>
      </c>
      <c r="P38" s="59">
        <v>0</v>
      </c>
      <c r="Q38" s="1"/>
      <c r="R38" s="1"/>
    </row>
    <row r="39" spans="1:18" ht="22.5" customHeight="1" thickBot="1">
      <c r="A39" s="60" t="s">
        <v>62</v>
      </c>
      <c r="B39" s="411" t="s">
        <v>51</v>
      </c>
      <c r="C39" s="412"/>
      <c r="D39" s="413"/>
      <c r="E39" s="33"/>
      <c r="F39" s="31"/>
      <c r="G39" s="62"/>
      <c r="H39" s="62"/>
      <c r="I39" s="62"/>
      <c r="J39" s="62"/>
      <c r="K39" s="45"/>
      <c r="L39" s="33"/>
      <c r="M39" s="67"/>
      <c r="N39" s="72"/>
      <c r="O39" s="64"/>
      <c r="P39" s="65"/>
      <c r="Q39" s="1"/>
      <c r="R39" s="1"/>
    </row>
    <row r="40" spans="1:18" ht="27" customHeight="1" thickBot="1">
      <c r="A40" s="60" t="s">
        <v>63</v>
      </c>
      <c r="B40" s="405" t="s">
        <v>53</v>
      </c>
      <c r="C40" s="406"/>
      <c r="D40" s="407"/>
      <c r="E40" s="45">
        <f>E41+E42+E43</f>
        <v>8065</v>
      </c>
      <c r="F40" s="31">
        <f aca="true" t="shared" si="2" ref="F40:F45">0+E40</f>
        <v>8065</v>
      </c>
      <c r="G40" s="62">
        <f>G41+G42+G43</f>
        <v>7885.71</v>
      </c>
      <c r="H40" s="62"/>
      <c r="I40" s="62"/>
      <c r="J40" s="62"/>
      <c r="K40" s="33">
        <f>0+G40</f>
        <v>7885.71</v>
      </c>
      <c r="L40" s="33">
        <f>L41+L42+L43</f>
        <v>5773.71</v>
      </c>
      <c r="M40" s="34">
        <f aca="true" t="shared" si="3" ref="M40:N55">E40-K40</f>
        <v>179.28999999999996</v>
      </c>
      <c r="N40" s="63">
        <f t="shared" si="3"/>
        <v>2291.29</v>
      </c>
      <c r="O40" s="64">
        <v>0</v>
      </c>
      <c r="P40" s="65">
        <v>0</v>
      </c>
      <c r="Q40" s="1"/>
      <c r="R40" s="1"/>
    </row>
    <row r="41" spans="1:18" ht="15.75" thickBot="1">
      <c r="A41" s="60" t="s">
        <v>64</v>
      </c>
      <c r="B41" s="414" t="s">
        <v>65</v>
      </c>
      <c r="C41" s="415"/>
      <c r="D41" s="416"/>
      <c r="E41" s="153">
        <v>2846</v>
      </c>
      <c r="F41" s="31">
        <f t="shared" si="2"/>
        <v>2846</v>
      </c>
      <c r="G41" s="62">
        <v>3554.71</v>
      </c>
      <c r="H41" s="62"/>
      <c r="I41" s="62"/>
      <c r="J41" s="62"/>
      <c r="K41" s="33">
        <f>0+G41</f>
        <v>3554.71</v>
      </c>
      <c r="L41" s="33">
        <f>0+K41</f>
        <v>3554.71</v>
      </c>
      <c r="M41" s="34">
        <f t="shared" si="3"/>
        <v>-708.71</v>
      </c>
      <c r="N41" s="63">
        <f t="shared" si="3"/>
        <v>-708.71</v>
      </c>
      <c r="O41" s="64">
        <v>0</v>
      </c>
      <c r="P41" s="65">
        <v>0</v>
      </c>
      <c r="Q41" s="1"/>
      <c r="R41" s="1"/>
    </row>
    <row r="42" spans="1:18" ht="15.75" thickBot="1">
      <c r="A42" s="60" t="s">
        <v>66</v>
      </c>
      <c r="B42" s="414" t="s">
        <v>67</v>
      </c>
      <c r="C42" s="415"/>
      <c r="D42" s="416"/>
      <c r="E42" s="153">
        <v>2219</v>
      </c>
      <c r="F42" s="31">
        <f t="shared" si="2"/>
        <v>2219</v>
      </c>
      <c r="G42" s="62">
        <v>2219</v>
      </c>
      <c r="H42" s="62"/>
      <c r="I42" s="62"/>
      <c r="J42" s="62"/>
      <c r="K42" s="33">
        <f>0+G42</f>
        <v>2219</v>
      </c>
      <c r="L42" s="33">
        <f>0+K42</f>
        <v>2219</v>
      </c>
      <c r="M42" s="34">
        <f t="shared" si="3"/>
        <v>0</v>
      </c>
      <c r="N42" s="63">
        <f t="shared" si="3"/>
        <v>0</v>
      </c>
      <c r="O42" s="64">
        <v>0</v>
      </c>
      <c r="P42" s="65">
        <v>0</v>
      </c>
      <c r="Q42" s="1"/>
      <c r="R42" s="1"/>
    </row>
    <row r="43" spans="1:18" ht="15.75" thickBot="1">
      <c r="A43" s="60" t="s">
        <v>68</v>
      </c>
      <c r="B43" s="414" t="s">
        <v>210</v>
      </c>
      <c r="C43" s="415"/>
      <c r="D43" s="416"/>
      <c r="E43" s="153">
        <v>3000</v>
      </c>
      <c r="F43" s="31">
        <f t="shared" si="2"/>
        <v>3000</v>
      </c>
      <c r="G43" s="74">
        <v>2112</v>
      </c>
      <c r="H43" s="74"/>
      <c r="I43" s="74"/>
      <c r="J43" s="62"/>
      <c r="K43" s="33">
        <f>0+J43</f>
        <v>0</v>
      </c>
      <c r="L43" s="33">
        <f>0+K43</f>
        <v>0</v>
      </c>
      <c r="M43" s="34">
        <f t="shared" si="3"/>
        <v>3000</v>
      </c>
      <c r="N43" s="63">
        <f t="shared" si="3"/>
        <v>3000</v>
      </c>
      <c r="O43" s="64">
        <v>0</v>
      </c>
      <c r="P43" s="65">
        <v>0</v>
      </c>
      <c r="Q43" s="1"/>
      <c r="R43" s="37"/>
    </row>
    <row r="44" spans="1:18" ht="31.5" customHeight="1" thickBot="1">
      <c r="A44" s="51" t="s">
        <v>69</v>
      </c>
      <c r="B44" s="408" t="s">
        <v>70</v>
      </c>
      <c r="C44" s="409"/>
      <c r="D44" s="410"/>
      <c r="E44" s="53">
        <f>SUM(E47:E49)</f>
        <v>182600</v>
      </c>
      <c r="F44" s="73">
        <f t="shared" si="2"/>
        <v>182600</v>
      </c>
      <c r="G44" s="55">
        <f>G45+G46+G47</f>
        <v>101135</v>
      </c>
      <c r="H44" s="75"/>
      <c r="I44" s="75"/>
      <c r="J44" s="54"/>
      <c r="K44" s="55">
        <f>K45+K46+K47</f>
        <v>101135</v>
      </c>
      <c r="L44" s="55">
        <f>L45+L46+L47</f>
        <v>101135</v>
      </c>
      <c r="M44" s="56">
        <f t="shared" si="3"/>
        <v>81465</v>
      </c>
      <c r="N44" s="158">
        <f t="shared" si="3"/>
        <v>81465</v>
      </c>
      <c r="O44" s="58">
        <v>0</v>
      </c>
      <c r="P44" s="59">
        <v>0</v>
      </c>
      <c r="Q44" s="1"/>
      <c r="R44" s="1"/>
    </row>
    <row r="45" spans="1:18" ht="30" customHeight="1" thickBot="1">
      <c r="A45" s="60" t="s">
        <v>71</v>
      </c>
      <c r="B45" s="405" t="s">
        <v>53</v>
      </c>
      <c r="C45" s="406"/>
      <c r="D45" s="407"/>
      <c r="E45" s="155">
        <f>E48+E49</f>
        <v>182600</v>
      </c>
      <c r="F45" s="31">
        <f t="shared" si="2"/>
        <v>182600</v>
      </c>
      <c r="G45" s="33">
        <f>G48+G49</f>
        <v>101135</v>
      </c>
      <c r="H45" s="74"/>
      <c r="I45" s="74"/>
      <c r="J45" s="62"/>
      <c r="K45" s="33">
        <f>0+G45</f>
        <v>101135</v>
      </c>
      <c r="L45" s="33">
        <f>L48+L49</f>
        <v>101135</v>
      </c>
      <c r="M45" s="34">
        <f t="shared" si="3"/>
        <v>81465</v>
      </c>
      <c r="N45" s="35">
        <f t="shared" si="3"/>
        <v>81465</v>
      </c>
      <c r="O45" s="64">
        <v>0</v>
      </c>
      <c r="P45" s="65">
        <v>0</v>
      </c>
      <c r="Q45" s="1"/>
      <c r="R45" s="1"/>
    </row>
    <row r="46" spans="1:18" ht="20.25" customHeight="1" thickBot="1">
      <c r="A46" s="60" t="s">
        <v>72</v>
      </c>
      <c r="B46" s="411" t="s">
        <v>51</v>
      </c>
      <c r="C46" s="412"/>
      <c r="D46" s="413"/>
      <c r="E46" s="76"/>
      <c r="F46" s="31"/>
      <c r="G46" s="33"/>
      <c r="H46" s="74"/>
      <c r="I46" s="74"/>
      <c r="J46" s="62"/>
      <c r="K46" s="33">
        <f aca="true" t="shared" si="4" ref="K46:K53">0+G46</f>
        <v>0</v>
      </c>
      <c r="L46" s="33">
        <f>0+K46</f>
        <v>0</v>
      </c>
      <c r="M46" s="34">
        <f t="shared" si="3"/>
        <v>0</v>
      </c>
      <c r="N46" s="63">
        <f t="shared" si="3"/>
        <v>0</v>
      </c>
      <c r="O46" s="64">
        <v>0</v>
      </c>
      <c r="P46" s="65">
        <v>0</v>
      </c>
      <c r="Q46" s="1"/>
      <c r="R46" s="1"/>
    </row>
    <row r="47" spans="1:18" ht="21.75" customHeight="1" thickBot="1">
      <c r="A47" s="60" t="s">
        <v>73</v>
      </c>
      <c r="B47" s="77" t="s">
        <v>55</v>
      </c>
      <c r="C47" s="78"/>
      <c r="D47" s="78"/>
      <c r="E47" s="79"/>
      <c r="F47" s="31"/>
      <c r="G47" s="33"/>
      <c r="H47" s="74"/>
      <c r="I47" s="74"/>
      <c r="J47" s="62"/>
      <c r="K47" s="33">
        <f t="shared" si="4"/>
        <v>0</v>
      </c>
      <c r="L47" s="33">
        <f>0+K47</f>
        <v>0</v>
      </c>
      <c r="M47" s="34">
        <f t="shared" si="3"/>
        <v>0</v>
      </c>
      <c r="N47" s="63">
        <f t="shared" si="3"/>
        <v>0</v>
      </c>
      <c r="O47" s="64">
        <v>0</v>
      </c>
      <c r="P47" s="65">
        <v>0</v>
      </c>
      <c r="Q47" s="1"/>
      <c r="R47" s="80"/>
    </row>
    <row r="48" spans="1:18" ht="27.75" customHeight="1" thickBot="1">
      <c r="A48" s="60" t="s">
        <v>74</v>
      </c>
      <c r="B48" s="420" t="s">
        <v>75</v>
      </c>
      <c r="C48" s="421"/>
      <c r="D48" s="422"/>
      <c r="E48" s="156">
        <v>170000</v>
      </c>
      <c r="F48" s="157">
        <f>0+E48</f>
        <v>170000</v>
      </c>
      <c r="G48" s="74">
        <v>101135</v>
      </c>
      <c r="H48" s="74"/>
      <c r="I48" s="74"/>
      <c r="J48" s="62"/>
      <c r="K48" s="33">
        <f>0+G48</f>
        <v>101135</v>
      </c>
      <c r="L48" s="33">
        <f>0+K48</f>
        <v>101135</v>
      </c>
      <c r="M48" s="34">
        <f t="shared" si="3"/>
        <v>68865</v>
      </c>
      <c r="N48" s="63">
        <f t="shared" si="3"/>
        <v>68865</v>
      </c>
      <c r="O48" s="64">
        <v>0</v>
      </c>
      <c r="P48" s="65">
        <v>0</v>
      </c>
      <c r="Q48" s="1"/>
      <c r="R48" s="37"/>
    </row>
    <row r="49" spans="1:18" ht="29.25" customHeight="1" thickBot="1">
      <c r="A49" s="60" t="s">
        <v>76</v>
      </c>
      <c r="B49" s="420" t="s">
        <v>77</v>
      </c>
      <c r="C49" s="421"/>
      <c r="D49" s="422"/>
      <c r="E49" s="156">
        <v>12600</v>
      </c>
      <c r="F49" s="157">
        <f>0+E49</f>
        <v>12600</v>
      </c>
      <c r="G49" s="74"/>
      <c r="H49" s="74"/>
      <c r="I49" s="74"/>
      <c r="J49" s="62"/>
      <c r="K49" s="33">
        <f t="shared" si="4"/>
        <v>0</v>
      </c>
      <c r="L49" s="33">
        <f>0+K49</f>
        <v>0</v>
      </c>
      <c r="M49" s="34">
        <f t="shared" si="3"/>
        <v>12600</v>
      </c>
      <c r="N49" s="63">
        <f t="shared" si="3"/>
        <v>12600</v>
      </c>
      <c r="O49" s="64">
        <v>0</v>
      </c>
      <c r="P49" s="65">
        <v>0</v>
      </c>
      <c r="Q49" s="1"/>
      <c r="R49" s="1"/>
    </row>
    <row r="50" spans="1:18" ht="26.25" customHeight="1" thickBot="1">
      <c r="A50" s="60" t="s">
        <v>78</v>
      </c>
      <c r="B50" s="420" t="s">
        <v>79</v>
      </c>
      <c r="C50" s="421"/>
      <c r="D50" s="422"/>
      <c r="E50" s="74">
        <v>0</v>
      </c>
      <c r="F50" s="31">
        <f>0+E50</f>
        <v>0</v>
      </c>
      <c r="G50" s="74"/>
      <c r="H50" s="74"/>
      <c r="I50" s="74"/>
      <c r="J50" s="62"/>
      <c r="K50" s="33">
        <f t="shared" si="4"/>
        <v>0</v>
      </c>
      <c r="L50" s="33">
        <f aca="true" t="shared" si="5" ref="L50:L57">0+K50</f>
        <v>0</v>
      </c>
      <c r="M50" s="34">
        <f t="shared" si="3"/>
        <v>0</v>
      </c>
      <c r="N50" s="63">
        <f t="shared" si="3"/>
        <v>0</v>
      </c>
      <c r="O50" s="64">
        <v>0</v>
      </c>
      <c r="P50" s="65">
        <v>0</v>
      </c>
      <c r="Q50" s="1"/>
      <c r="R50" s="1"/>
    </row>
    <row r="51" spans="1:18" ht="40.5" customHeight="1" thickBot="1">
      <c r="A51" s="51" t="s">
        <v>80</v>
      </c>
      <c r="B51" s="423" t="s">
        <v>81</v>
      </c>
      <c r="C51" s="424"/>
      <c r="D51" s="425"/>
      <c r="E51" s="55">
        <v>0</v>
      </c>
      <c r="F51" s="55">
        <v>0</v>
      </c>
      <c r="G51" s="55"/>
      <c r="H51" s="55"/>
      <c r="I51" s="55"/>
      <c r="J51" s="54"/>
      <c r="K51" s="55">
        <f t="shared" si="4"/>
        <v>0</v>
      </c>
      <c r="L51" s="55">
        <f t="shared" si="5"/>
        <v>0</v>
      </c>
      <c r="M51" s="56">
        <f t="shared" si="3"/>
        <v>0</v>
      </c>
      <c r="N51" s="57">
        <f t="shared" si="3"/>
        <v>0</v>
      </c>
      <c r="O51" s="58">
        <v>0</v>
      </c>
      <c r="P51" s="59">
        <v>0</v>
      </c>
      <c r="Q51" s="1"/>
      <c r="R51" s="1"/>
    </row>
    <row r="52" spans="1:18" ht="30" customHeight="1" thickBot="1">
      <c r="A52" s="60" t="s">
        <v>82</v>
      </c>
      <c r="B52" s="405" t="s">
        <v>53</v>
      </c>
      <c r="C52" s="406"/>
      <c r="D52" s="407"/>
      <c r="E52" s="33"/>
      <c r="F52" s="33"/>
      <c r="G52" s="33"/>
      <c r="H52" s="33"/>
      <c r="I52" s="33"/>
      <c r="J52" s="62"/>
      <c r="K52" s="33">
        <f t="shared" si="4"/>
        <v>0</v>
      </c>
      <c r="L52" s="33">
        <f t="shared" si="5"/>
        <v>0</v>
      </c>
      <c r="M52" s="34">
        <f t="shared" si="3"/>
        <v>0</v>
      </c>
      <c r="N52" s="63">
        <f t="shared" si="3"/>
        <v>0</v>
      </c>
      <c r="O52" s="64">
        <v>0</v>
      </c>
      <c r="P52" s="65">
        <v>0</v>
      </c>
      <c r="Q52" s="1"/>
      <c r="R52" s="1"/>
    </row>
    <row r="53" spans="1:18" ht="22.5" customHeight="1" thickBot="1">
      <c r="A53" s="60" t="s">
        <v>83</v>
      </c>
      <c r="B53" s="77" t="s">
        <v>55</v>
      </c>
      <c r="C53" s="78"/>
      <c r="D53" s="78"/>
      <c r="E53" s="33"/>
      <c r="F53" s="33"/>
      <c r="G53" s="33"/>
      <c r="H53" s="33"/>
      <c r="I53" s="33"/>
      <c r="J53" s="62"/>
      <c r="K53" s="33">
        <f t="shared" si="4"/>
        <v>0</v>
      </c>
      <c r="L53" s="33">
        <f t="shared" si="5"/>
        <v>0</v>
      </c>
      <c r="M53" s="34">
        <f t="shared" si="3"/>
        <v>0</v>
      </c>
      <c r="N53" s="63">
        <f t="shared" si="3"/>
        <v>0</v>
      </c>
      <c r="O53" s="64">
        <v>0</v>
      </c>
      <c r="P53" s="65">
        <v>0</v>
      </c>
      <c r="Q53" s="1"/>
      <c r="R53" s="1"/>
    </row>
    <row r="54" spans="1:18" ht="46.5" customHeight="1" thickBot="1">
      <c r="A54" s="51" t="s">
        <v>84</v>
      </c>
      <c r="B54" s="408" t="s">
        <v>85</v>
      </c>
      <c r="C54" s="409"/>
      <c r="D54" s="410"/>
      <c r="E54" s="53">
        <f>SUM(E59:E63)</f>
        <v>399600</v>
      </c>
      <c r="F54" s="73">
        <f>F55+F58</f>
        <v>399600</v>
      </c>
      <c r="G54" s="55">
        <f>G55+G56+G57+G58</f>
        <v>35200.42</v>
      </c>
      <c r="H54" s="55"/>
      <c r="I54" s="55"/>
      <c r="J54" s="55">
        <f>J55+J56+J57+J58</f>
        <v>0</v>
      </c>
      <c r="K54" s="55">
        <f>K55+K56+K57</f>
        <v>35200.42</v>
      </c>
      <c r="L54" s="55">
        <f>L55+L56+L57+L58</f>
        <v>35200.42</v>
      </c>
      <c r="M54" s="56">
        <f t="shared" si="3"/>
        <v>364399.58</v>
      </c>
      <c r="N54" s="70">
        <f t="shared" si="3"/>
        <v>364399.58</v>
      </c>
      <c r="O54" s="58">
        <v>0</v>
      </c>
      <c r="P54" s="59">
        <v>0</v>
      </c>
      <c r="Q54" s="1"/>
      <c r="R54" s="37"/>
    </row>
    <row r="55" spans="1:18" ht="29.25" customHeight="1" thickBot="1">
      <c r="A55" s="60" t="s">
        <v>86</v>
      </c>
      <c r="B55" s="405" t="s">
        <v>53</v>
      </c>
      <c r="C55" s="406"/>
      <c r="D55" s="407"/>
      <c r="E55" s="81">
        <f>E59+E60+E62+E63-E58</f>
        <v>390100</v>
      </c>
      <c r="F55" s="31">
        <f>0+E55</f>
        <v>390100</v>
      </c>
      <c r="G55" s="33">
        <f>G59+G60+G62+G63</f>
        <v>35200.42</v>
      </c>
      <c r="H55" s="33"/>
      <c r="I55" s="33"/>
      <c r="J55" s="33"/>
      <c r="K55" s="33">
        <f>0+G55</f>
        <v>35200.42</v>
      </c>
      <c r="L55" s="33">
        <f>0+K55</f>
        <v>35200.42</v>
      </c>
      <c r="M55" s="34">
        <f t="shared" si="3"/>
        <v>354899.58</v>
      </c>
      <c r="N55" s="63">
        <f t="shared" si="3"/>
        <v>354899.58</v>
      </c>
      <c r="O55" s="64">
        <v>0</v>
      </c>
      <c r="P55" s="65">
        <v>0</v>
      </c>
      <c r="Q55" s="1"/>
      <c r="R55" s="37"/>
    </row>
    <row r="56" spans="1:18" ht="30.75" customHeight="1" thickBot="1">
      <c r="A56" s="60" t="s">
        <v>87</v>
      </c>
      <c r="B56" s="411" t="s">
        <v>88</v>
      </c>
      <c r="C56" s="412"/>
      <c r="D56" s="413"/>
      <c r="E56" s="61"/>
      <c r="F56" s="31"/>
      <c r="G56" s="33"/>
      <c r="H56" s="33"/>
      <c r="I56" s="33"/>
      <c r="J56" s="33"/>
      <c r="K56" s="33">
        <f aca="true" t="shared" si="6" ref="K56:K61">0+G56</f>
        <v>0</v>
      </c>
      <c r="L56" s="33">
        <f t="shared" si="5"/>
        <v>0</v>
      </c>
      <c r="M56" s="34">
        <f aca="true" t="shared" si="7" ref="M56:N71">E56-K56</f>
        <v>0</v>
      </c>
      <c r="N56" s="63">
        <f t="shared" si="7"/>
        <v>0</v>
      </c>
      <c r="O56" s="64">
        <v>0</v>
      </c>
      <c r="P56" s="65">
        <v>0</v>
      </c>
      <c r="Q56" s="1"/>
      <c r="R56" s="37"/>
    </row>
    <row r="57" spans="1:18" ht="18" customHeight="1" thickBot="1">
      <c r="A57" s="60" t="s">
        <v>89</v>
      </c>
      <c r="B57" s="435" t="s">
        <v>55</v>
      </c>
      <c r="C57" s="436"/>
      <c r="D57" s="436"/>
      <c r="E57" s="82"/>
      <c r="F57" s="31"/>
      <c r="G57" s="33"/>
      <c r="H57" s="33"/>
      <c r="I57" s="33"/>
      <c r="J57" s="33"/>
      <c r="K57" s="33">
        <f t="shared" si="6"/>
        <v>0</v>
      </c>
      <c r="L57" s="33">
        <f t="shared" si="5"/>
        <v>0</v>
      </c>
      <c r="M57" s="34">
        <f t="shared" si="7"/>
        <v>0</v>
      </c>
      <c r="N57" s="63">
        <f t="shared" si="7"/>
        <v>0</v>
      </c>
      <c r="O57" s="64">
        <v>0</v>
      </c>
      <c r="P57" s="65">
        <v>0</v>
      </c>
      <c r="Q57" s="1"/>
      <c r="R57" s="37"/>
    </row>
    <row r="58" spans="1:18" ht="33" customHeight="1" thickBot="1">
      <c r="A58" s="60" t="s">
        <v>90</v>
      </c>
      <c r="B58" s="383" t="s">
        <v>40</v>
      </c>
      <c r="C58" s="384"/>
      <c r="D58" s="385"/>
      <c r="E58" s="155">
        <v>9500</v>
      </c>
      <c r="F58" s="31">
        <f>0+E58</f>
        <v>9500</v>
      </c>
      <c r="G58" s="33"/>
      <c r="H58" s="33"/>
      <c r="I58" s="33"/>
      <c r="J58" s="33">
        <f>J62+J63+J59</f>
        <v>0</v>
      </c>
      <c r="K58" s="33">
        <f>0+J58</f>
        <v>0</v>
      </c>
      <c r="L58" s="33">
        <f>0+K58</f>
        <v>0</v>
      </c>
      <c r="M58" s="34">
        <f t="shared" si="7"/>
        <v>9500</v>
      </c>
      <c r="N58" s="63">
        <f t="shared" si="7"/>
        <v>9500</v>
      </c>
      <c r="O58" s="64">
        <v>0</v>
      </c>
      <c r="P58" s="65">
        <v>0</v>
      </c>
      <c r="Q58" s="1"/>
      <c r="R58" s="37"/>
    </row>
    <row r="59" spans="1:18" ht="28.5" customHeight="1" thickBot="1">
      <c r="A59" s="60" t="s">
        <v>91</v>
      </c>
      <c r="B59" s="437" t="s">
        <v>92</v>
      </c>
      <c r="C59" s="438"/>
      <c r="D59" s="439"/>
      <c r="E59" s="156">
        <v>90000</v>
      </c>
      <c r="F59" s="31">
        <f>0+E59</f>
        <v>90000</v>
      </c>
      <c r="G59" s="74">
        <v>23332.93</v>
      </c>
      <c r="H59" s="74"/>
      <c r="I59" s="74"/>
      <c r="J59" s="33"/>
      <c r="K59" s="33">
        <f>J59+G59</f>
        <v>23332.93</v>
      </c>
      <c r="L59" s="33">
        <f>0+K59</f>
        <v>23332.93</v>
      </c>
      <c r="M59" s="34">
        <f t="shared" si="7"/>
        <v>66667.07</v>
      </c>
      <c r="N59" s="35">
        <f t="shared" si="7"/>
        <v>66667.07</v>
      </c>
      <c r="O59" s="64">
        <v>0</v>
      </c>
      <c r="P59" s="65">
        <v>0</v>
      </c>
      <c r="Q59" s="1"/>
      <c r="R59" s="80"/>
    </row>
    <row r="60" spans="1:18" ht="21.75" customHeight="1" thickBot="1">
      <c r="A60" s="60" t="s">
        <v>93</v>
      </c>
      <c r="B60" s="426" t="s">
        <v>94</v>
      </c>
      <c r="C60" s="427"/>
      <c r="D60" s="427"/>
      <c r="E60" s="152">
        <v>300000</v>
      </c>
      <c r="F60" s="31">
        <f>0+E60</f>
        <v>300000</v>
      </c>
      <c r="G60" s="74"/>
      <c r="H60" s="74"/>
      <c r="I60" s="74"/>
      <c r="J60" s="33"/>
      <c r="K60" s="33">
        <f>0+G60</f>
        <v>0</v>
      </c>
      <c r="L60" s="33">
        <f>0+K60</f>
        <v>0</v>
      </c>
      <c r="M60" s="34">
        <f t="shared" si="7"/>
        <v>300000</v>
      </c>
      <c r="N60" s="63">
        <f t="shared" si="7"/>
        <v>300000</v>
      </c>
      <c r="O60" s="64">
        <v>0</v>
      </c>
      <c r="P60" s="65">
        <v>0</v>
      </c>
      <c r="Q60" s="1"/>
      <c r="R60" s="37"/>
    </row>
    <row r="61" spans="1:18" ht="15.75" thickBot="1">
      <c r="A61" s="60" t="s">
        <v>93</v>
      </c>
      <c r="B61" s="440" t="s">
        <v>95</v>
      </c>
      <c r="C61" s="441"/>
      <c r="D61" s="442"/>
      <c r="E61" s="152"/>
      <c r="F61" s="31"/>
      <c r="G61" s="74"/>
      <c r="H61" s="74"/>
      <c r="I61" s="74"/>
      <c r="J61" s="33"/>
      <c r="K61" s="33">
        <f t="shared" si="6"/>
        <v>0</v>
      </c>
      <c r="L61" s="33">
        <f>0+K61</f>
        <v>0</v>
      </c>
      <c r="M61" s="34">
        <f t="shared" si="7"/>
        <v>0</v>
      </c>
      <c r="N61" s="63">
        <f t="shared" si="7"/>
        <v>0</v>
      </c>
      <c r="O61" s="64">
        <v>0</v>
      </c>
      <c r="P61" s="65">
        <v>0</v>
      </c>
      <c r="Q61" s="1"/>
      <c r="R61" s="1"/>
    </row>
    <row r="62" spans="1:18" ht="20.25" customHeight="1" thickBot="1">
      <c r="A62" s="60" t="s">
        <v>96</v>
      </c>
      <c r="B62" s="426" t="s">
        <v>97</v>
      </c>
      <c r="C62" s="427"/>
      <c r="D62" s="428"/>
      <c r="E62" s="152">
        <v>5100</v>
      </c>
      <c r="F62" s="31">
        <f>0+E62</f>
        <v>5100</v>
      </c>
      <c r="G62" s="83">
        <v>6337.57</v>
      </c>
      <c r="H62" s="84"/>
      <c r="I62" s="74"/>
      <c r="J62" s="74"/>
      <c r="K62" s="33">
        <f>0+J62+G62</f>
        <v>6337.57</v>
      </c>
      <c r="L62" s="33">
        <f>0+K62</f>
        <v>6337.57</v>
      </c>
      <c r="M62" s="34">
        <f t="shared" si="7"/>
        <v>-1237.5699999999997</v>
      </c>
      <c r="N62" s="63">
        <f t="shared" si="7"/>
        <v>-1237.5699999999997</v>
      </c>
      <c r="O62" s="64">
        <v>0</v>
      </c>
      <c r="P62" s="65">
        <v>0</v>
      </c>
      <c r="Q62" s="1"/>
      <c r="R62" s="1"/>
    </row>
    <row r="63" spans="1:18" ht="27" customHeight="1" thickBot="1">
      <c r="A63" s="60" t="s">
        <v>98</v>
      </c>
      <c r="B63" s="426" t="s">
        <v>99</v>
      </c>
      <c r="C63" s="427"/>
      <c r="D63" s="428"/>
      <c r="E63" s="152">
        <v>4500</v>
      </c>
      <c r="F63" s="31">
        <f>0+E63</f>
        <v>4500</v>
      </c>
      <c r="G63" s="85">
        <v>5529.92</v>
      </c>
      <c r="H63" s="74"/>
      <c r="I63" s="74"/>
      <c r="J63" s="74"/>
      <c r="K63" s="33">
        <f>0+J63+G63</f>
        <v>5529.92</v>
      </c>
      <c r="L63" s="33">
        <f>0+K63</f>
        <v>5529.92</v>
      </c>
      <c r="M63" s="34">
        <f t="shared" si="7"/>
        <v>-1029.92</v>
      </c>
      <c r="N63" s="63">
        <f t="shared" si="7"/>
        <v>-1029.92</v>
      </c>
      <c r="O63" s="64">
        <v>0</v>
      </c>
      <c r="P63" s="65">
        <v>0</v>
      </c>
      <c r="Q63" s="1"/>
      <c r="R63" s="1"/>
    </row>
    <row r="64" spans="1:18" ht="33.75" customHeight="1" thickBot="1">
      <c r="A64" s="86" t="s">
        <v>100</v>
      </c>
      <c r="B64" s="429" t="s">
        <v>101</v>
      </c>
      <c r="C64" s="430"/>
      <c r="D64" s="431"/>
      <c r="E64" s="53">
        <f>E65</f>
        <v>48500</v>
      </c>
      <c r="F64" s="73">
        <f>F65+F66</f>
        <v>48500</v>
      </c>
      <c r="G64" s="75">
        <f>G65+G66</f>
        <v>0</v>
      </c>
      <c r="H64" s="55"/>
      <c r="I64" s="55">
        <f>I66</f>
        <v>0</v>
      </c>
      <c r="J64" s="55">
        <f>J65+J66</f>
        <v>0</v>
      </c>
      <c r="K64" s="55">
        <f>K65+K66</f>
        <v>0</v>
      </c>
      <c r="L64" s="55">
        <f>L65+L66</f>
        <v>0</v>
      </c>
      <c r="M64" s="56">
        <f t="shared" si="7"/>
        <v>48500</v>
      </c>
      <c r="N64" s="70">
        <f t="shared" si="7"/>
        <v>48500</v>
      </c>
      <c r="O64" s="58">
        <v>0</v>
      </c>
      <c r="P64" s="59">
        <v>0</v>
      </c>
      <c r="Q64" s="1"/>
      <c r="R64" s="1"/>
    </row>
    <row r="65" spans="1:18" ht="27" customHeight="1" thickBot="1">
      <c r="A65" s="60" t="s">
        <v>102</v>
      </c>
      <c r="B65" s="405" t="s">
        <v>53</v>
      </c>
      <c r="C65" s="406"/>
      <c r="D65" s="407"/>
      <c r="E65" s="45">
        <v>48500</v>
      </c>
      <c r="F65" s="31">
        <f>0+E65</f>
        <v>48500</v>
      </c>
      <c r="G65" s="74"/>
      <c r="H65" s="33"/>
      <c r="I65" s="33"/>
      <c r="J65" s="33"/>
      <c r="K65" s="33">
        <f>0+G65</f>
        <v>0</v>
      </c>
      <c r="L65" s="33">
        <f>0+K65</f>
        <v>0</v>
      </c>
      <c r="M65" s="34">
        <f t="shared" si="7"/>
        <v>48500</v>
      </c>
      <c r="N65" s="35">
        <f t="shared" si="7"/>
        <v>48500</v>
      </c>
      <c r="O65" s="64">
        <v>0</v>
      </c>
      <c r="P65" s="65">
        <v>0</v>
      </c>
      <c r="Q65" s="1"/>
      <c r="R65" s="1"/>
    </row>
    <row r="66" spans="1:18" ht="31.5" customHeight="1" thickBot="1">
      <c r="A66" s="60" t="s">
        <v>103</v>
      </c>
      <c r="B66" s="405" t="s">
        <v>104</v>
      </c>
      <c r="C66" s="406"/>
      <c r="D66" s="407"/>
      <c r="E66" s="45"/>
      <c r="F66" s="31"/>
      <c r="G66" s="74"/>
      <c r="H66" s="33"/>
      <c r="I66" s="33"/>
      <c r="J66" s="33"/>
      <c r="K66" s="33">
        <f>0+I66</f>
        <v>0</v>
      </c>
      <c r="L66" s="33">
        <f>0+K66</f>
        <v>0</v>
      </c>
      <c r="M66" s="34">
        <f t="shared" si="7"/>
        <v>0</v>
      </c>
      <c r="N66" s="35">
        <f t="shared" si="7"/>
        <v>0</v>
      </c>
      <c r="O66" s="64">
        <v>0</v>
      </c>
      <c r="P66" s="65">
        <v>0</v>
      </c>
      <c r="Q66" s="1"/>
      <c r="R66" s="1"/>
    </row>
    <row r="67" spans="1:18" ht="38.25" customHeight="1" thickBot="1">
      <c r="A67" s="69" t="s">
        <v>105</v>
      </c>
      <c r="B67" s="432" t="s">
        <v>106</v>
      </c>
      <c r="C67" s="433"/>
      <c r="D67" s="434"/>
      <c r="E67" s="53">
        <f>E68</f>
        <v>100000</v>
      </c>
      <c r="F67" s="73">
        <f>0+E67</f>
        <v>100000</v>
      </c>
      <c r="G67" s="75">
        <f>G68+G69</f>
        <v>0</v>
      </c>
      <c r="H67" s="55"/>
      <c r="I67" s="55"/>
      <c r="J67" s="55"/>
      <c r="K67" s="55">
        <f>K68+K69+K70</f>
        <v>0</v>
      </c>
      <c r="L67" s="55">
        <f>0+K67</f>
        <v>0</v>
      </c>
      <c r="M67" s="56">
        <f t="shared" si="7"/>
        <v>100000</v>
      </c>
      <c r="N67" s="70">
        <f t="shared" si="7"/>
        <v>100000</v>
      </c>
      <c r="O67" s="58">
        <v>0</v>
      </c>
      <c r="P67" s="59">
        <v>0</v>
      </c>
      <c r="Q67" s="1"/>
      <c r="R67" s="37"/>
    </row>
    <row r="68" spans="1:18" ht="32.25" customHeight="1" thickBot="1">
      <c r="A68" s="60" t="s">
        <v>107</v>
      </c>
      <c r="B68" s="446" t="s">
        <v>53</v>
      </c>
      <c r="C68" s="447"/>
      <c r="D68" s="448"/>
      <c r="E68" s="61">
        <v>100000</v>
      </c>
      <c r="F68" s="31">
        <f>0+E68</f>
        <v>100000</v>
      </c>
      <c r="G68" s="74"/>
      <c r="H68" s="33"/>
      <c r="I68" s="33"/>
      <c r="J68" s="33"/>
      <c r="K68" s="33">
        <f>G68</f>
        <v>0</v>
      </c>
      <c r="L68" s="33">
        <f>0+K68</f>
        <v>0</v>
      </c>
      <c r="M68" s="34">
        <f>E68-K68</f>
        <v>100000</v>
      </c>
      <c r="N68" s="35">
        <f t="shared" si="7"/>
        <v>100000</v>
      </c>
      <c r="O68" s="64">
        <v>0</v>
      </c>
      <c r="P68" s="65">
        <v>0</v>
      </c>
      <c r="Q68" s="1"/>
      <c r="R68" s="37"/>
    </row>
    <row r="69" spans="1:18" ht="29.25" customHeight="1" thickBot="1">
      <c r="A69" s="60" t="s">
        <v>108</v>
      </c>
      <c r="B69" s="446" t="s">
        <v>104</v>
      </c>
      <c r="C69" s="447"/>
      <c r="D69" s="448"/>
      <c r="E69" s="61"/>
      <c r="F69" s="31"/>
      <c r="G69" s="74"/>
      <c r="H69" s="33"/>
      <c r="I69" s="33"/>
      <c r="J69" s="33"/>
      <c r="K69" s="33">
        <f>G69</f>
        <v>0</v>
      </c>
      <c r="L69" s="33">
        <f>0+K69</f>
        <v>0</v>
      </c>
      <c r="M69" s="34">
        <f t="shared" si="7"/>
        <v>0</v>
      </c>
      <c r="N69" s="35">
        <f t="shared" si="7"/>
        <v>0</v>
      </c>
      <c r="O69" s="64">
        <v>0</v>
      </c>
      <c r="P69" s="65">
        <v>0</v>
      </c>
      <c r="Q69" s="1"/>
      <c r="R69" s="37"/>
    </row>
    <row r="70" spans="1:18" ht="26.25" customHeight="1" thickBot="1">
      <c r="A70" s="60" t="s">
        <v>109</v>
      </c>
      <c r="B70" s="446" t="s">
        <v>55</v>
      </c>
      <c r="C70" s="447"/>
      <c r="D70" s="448"/>
      <c r="E70" s="81"/>
      <c r="F70" s="31"/>
      <c r="G70" s="74"/>
      <c r="H70" s="33"/>
      <c r="I70" s="33"/>
      <c r="J70" s="33"/>
      <c r="K70" s="33">
        <f>0+J70</f>
        <v>0</v>
      </c>
      <c r="L70" s="33">
        <f>0+K70</f>
        <v>0</v>
      </c>
      <c r="M70" s="34">
        <f t="shared" si="7"/>
        <v>0</v>
      </c>
      <c r="N70" s="35">
        <f t="shared" si="7"/>
        <v>0</v>
      </c>
      <c r="O70" s="64">
        <v>0</v>
      </c>
      <c r="P70" s="65">
        <v>0</v>
      </c>
      <c r="Q70" s="1"/>
      <c r="R70" s="37"/>
    </row>
    <row r="71" spans="1:18" ht="21" customHeight="1" thickBot="1">
      <c r="A71" s="87" t="s">
        <v>110</v>
      </c>
      <c r="B71" s="443" t="s">
        <v>111</v>
      </c>
      <c r="C71" s="444"/>
      <c r="D71" s="445"/>
      <c r="E71" s="53">
        <f>E72+E73</f>
        <v>3300</v>
      </c>
      <c r="F71" s="73">
        <f>0+E71</f>
        <v>3300</v>
      </c>
      <c r="G71" s="75">
        <f>G72+G73</f>
        <v>1330</v>
      </c>
      <c r="H71" s="55"/>
      <c r="I71" s="55"/>
      <c r="J71" s="55"/>
      <c r="K71" s="55">
        <f>G71</f>
        <v>1330</v>
      </c>
      <c r="L71" s="55">
        <f>L72</f>
        <v>1330</v>
      </c>
      <c r="M71" s="56">
        <f t="shared" si="7"/>
        <v>1970</v>
      </c>
      <c r="N71" s="70">
        <f t="shared" si="7"/>
        <v>1970</v>
      </c>
      <c r="O71" s="58">
        <v>0</v>
      </c>
      <c r="P71" s="59">
        <v>0</v>
      </c>
      <c r="Q71" s="1"/>
      <c r="R71" s="1"/>
    </row>
    <row r="72" spans="1:18" ht="28.5" customHeight="1" thickBot="1">
      <c r="A72" s="60" t="s">
        <v>107</v>
      </c>
      <c r="B72" s="405" t="s">
        <v>53</v>
      </c>
      <c r="C72" s="406"/>
      <c r="D72" s="407"/>
      <c r="E72" s="61">
        <v>3300</v>
      </c>
      <c r="F72" s="31">
        <f>0+E72</f>
        <v>3300</v>
      </c>
      <c r="G72" s="74">
        <v>1330</v>
      </c>
      <c r="H72" s="33"/>
      <c r="I72" s="33"/>
      <c r="J72" s="33"/>
      <c r="K72" s="33">
        <f>G72</f>
        <v>1330</v>
      </c>
      <c r="L72" s="33">
        <f>0+K72</f>
        <v>1330</v>
      </c>
      <c r="M72" s="34">
        <f aca="true" t="shared" si="8" ref="M72:N82">E72-K72</f>
        <v>1970</v>
      </c>
      <c r="N72" s="35">
        <f t="shared" si="8"/>
        <v>1970</v>
      </c>
      <c r="O72" s="64">
        <v>0</v>
      </c>
      <c r="P72" s="65">
        <v>0</v>
      </c>
      <c r="Q72" s="1"/>
      <c r="R72" s="1"/>
    </row>
    <row r="73" spans="1:18" ht="28.5" customHeight="1" thickBot="1">
      <c r="A73" s="60" t="s">
        <v>109</v>
      </c>
      <c r="B73" s="405" t="s">
        <v>55</v>
      </c>
      <c r="C73" s="406"/>
      <c r="D73" s="407"/>
      <c r="E73" s="81"/>
      <c r="F73" s="31"/>
      <c r="G73" s="74"/>
      <c r="H73" s="33"/>
      <c r="I73" s="33"/>
      <c r="J73" s="33"/>
      <c r="K73" s="33">
        <f>0+J73</f>
        <v>0</v>
      </c>
      <c r="L73" s="33">
        <f>0+K73</f>
        <v>0</v>
      </c>
      <c r="M73" s="34">
        <f t="shared" si="8"/>
        <v>0</v>
      </c>
      <c r="N73" s="35">
        <f t="shared" si="8"/>
        <v>0</v>
      </c>
      <c r="O73" s="64">
        <v>0</v>
      </c>
      <c r="P73" s="65">
        <v>0</v>
      </c>
      <c r="Q73" s="1"/>
      <c r="R73" s="1"/>
    </row>
    <row r="74" spans="1:18" ht="45" customHeight="1" thickBot="1">
      <c r="A74" s="87" t="s">
        <v>112</v>
      </c>
      <c r="B74" s="443" t="s">
        <v>113</v>
      </c>
      <c r="C74" s="444"/>
      <c r="D74" s="445"/>
      <c r="E74" s="53">
        <f>E75</f>
        <v>12000</v>
      </c>
      <c r="F74" s="73">
        <f>F75+F76</f>
        <v>12000</v>
      </c>
      <c r="G74" s="75">
        <f>G75+G76+G77</f>
        <v>2203</v>
      </c>
      <c r="H74" s="55"/>
      <c r="I74" s="55">
        <f>I75+I76</f>
        <v>0</v>
      </c>
      <c r="J74" s="55"/>
      <c r="K74" s="55">
        <f>K75+K76+K77</f>
        <v>2203</v>
      </c>
      <c r="L74" s="55">
        <f>L75+L76+L77</f>
        <v>2203</v>
      </c>
      <c r="M74" s="56">
        <f t="shared" si="8"/>
        <v>9797</v>
      </c>
      <c r="N74" s="70">
        <f t="shared" si="8"/>
        <v>9797</v>
      </c>
      <c r="O74" s="58">
        <v>0</v>
      </c>
      <c r="P74" s="59">
        <v>0</v>
      </c>
      <c r="Q74" s="1"/>
      <c r="R74" s="1"/>
    </row>
    <row r="75" spans="1:18" ht="27.75" customHeight="1" thickBot="1">
      <c r="A75" s="60" t="s">
        <v>114</v>
      </c>
      <c r="B75" s="405" t="s">
        <v>53</v>
      </c>
      <c r="C75" s="406"/>
      <c r="D75" s="407"/>
      <c r="E75" s="61">
        <v>12000</v>
      </c>
      <c r="F75" s="31">
        <f>0+E75</f>
        <v>12000</v>
      </c>
      <c r="G75" s="74">
        <v>2203</v>
      </c>
      <c r="H75" s="33"/>
      <c r="I75" s="33"/>
      <c r="J75" s="33"/>
      <c r="K75" s="33">
        <f>G75</f>
        <v>2203</v>
      </c>
      <c r="L75" s="33">
        <f>0+K75</f>
        <v>2203</v>
      </c>
      <c r="M75" s="34">
        <f>E75-K75</f>
        <v>9797</v>
      </c>
      <c r="N75" s="35">
        <f t="shared" si="8"/>
        <v>9797</v>
      </c>
      <c r="O75" s="64">
        <v>0</v>
      </c>
      <c r="P75" s="65">
        <v>0</v>
      </c>
      <c r="Q75" s="1"/>
      <c r="R75" s="1"/>
    </row>
    <row r="76" spans="1:18" ht="28.5" customHeight="1" thickBot="1">
      <c r="A76" s="60" t="s">
        <v>115</v>
      </c>
      <c r="B76" s="405" t="s">
        <v>104</v>
      </c>
      <c r="C76" s="406"/>
      <c r="D76" s="407"/>
      <c r="E76" s="81"/>
      <c r="F76" s="31"/>
      <c r="G76" s="74"/>
      <c r="H76" s="33"/>
      <c r="I76" s="33"/>
      <c r="J76" s="33"/>
      <c r="K76" s="33">
        <f>I76</f>
        <v>0</v>
      </c>
      <c r="L76" s="33">
        <f>0+K76</f>
        <v>0</v>
      </c>
      <c r="M76" s="34">
        <f t="shared" si="8"/>
        <v>0</v>
      </c>
      <c r="N76" s="35">
        <f t="shared" si="8"/>
        <v>0</v>
      </c>
      <c r="O76" s="64">
        <v>0</v>
      </c>
      <c r="P76" s="65">
        <v>0</v>
      </c>
      <c r="Q76" s="1"/>
      <c r="R76" s="1"/>
    </row>
    <row r="77" spans="1:18" ht="19.5" customHeight="1" thickBot="1">
      <c r="A77" s="60" t="s">
        <v>116</v>
      </c>
      <c r="B77" s="77" t="s">
        <v>55</v>
      </c>
      <c r="C77" s="78"/>
      <c r="D77" s="88"/>
      <c r="E77" s="61"/>
      <c r="F77" s="31"/>
      <c r="G77" s="74"/>
      <c r="H77" s="33"/>
      <c r="I77" s="33"/>
      <c r="J77" s="33"/>
      <c r="K77" s="33">
        <f>0+J77</f>
        <v>0</v>
      </c>
      <c r="L77" s="33">
        <f>0+K77</f>
        <v>0</v>
      </c>
      <c r="M77" s="34">
        <f t="shared" si="8"/>
        <v>0</v>
      </c>
      <c r="N77" s="35">
        <f t="shared" si="8"/>
        <v>0</v>
      </c>
      <c r="O77" s="64">
        <v>0</v>
      </c>
      <c r="P77" s="65">
        <v>0</v>
      </c>
      <c r="Q77" s="1"/>
      <c r="R77" s="1"/>
    </row>
    <row r="78" spans="1:18" ht="46.5" customHeight="1" thickBot="1">
      <c r="A78" s="69" t="s">
        <v>117</v>
      </c>
      <c r="B78" s="408" t="s">
        <v>118</v>
      </c>
      <c r="C78" s="409"/>
      <c r="D78" s="410"/>
      <c r="E78" s="53">
        <f>E79</f>
        <v>1000</v>
      </c>
      <c r="F78" s="73">
        <f>F79</f>
        <v>1000</v>
      </c>
      <c r="G78" s="75">
        <f>G79</f>
        <v>0</v>
      </c>
      <c r="H78" s="55"/>
      <c r="I78" s="55"/>
      <c r="J78" s="55"/>
      <c r="K78" s="55">
        <f>0+J78+G78</f>
        <v>0</v>
      </c>
      <c r="L78" s="55">
        <f>L79</f>
        <v>0</v>
      </c>
      <c r="M78" s="56">
        <f t="shared" si="8"/>
        <v>1000</v>
      </c>
      <c r="N78" s="70">
        <f t="shared" si="8"/>
        <v>1000</v>
      </c>
      <c r="O78" s="58">
        <v>0</v>
      </c>
      <c r="P78" s="59">
        <v>0</v>
      </c>
      <c r="Q78" s="1"/>
      <c r="R78" s="1"/>
    </row>
    <row r="79" spans="1:18" ht="28.5" customHeight="1" thickBot="1">
      <c r="A79" s="60" t="s">
        <v>119</v>
      </c>
      <c r="B79" s="405" t="s">
        <v>53</v>
      </c>
      <c r="C79" s="406"/>
      <c r="D79" s="407"/>
      <c r="E79" s="81">
        <v>1000</v>
      </c>
      <c r="F79" s="31">
        <f>0+E79</f>
        <v>1000</v>
      </c>
      <c r="G79" s="74"/>
      <c r="H79" s="33"/>
      <c r="I79" s="33"/>
      <c r="J79" s="33"/>
      <c r="K79" s="33">
        <f>0+J79+G79</f>
        <v>0</v>
      </c>
      <c r="L79" s="33">
        <f>0+K79</f>
        <v>0</v>
      </c>
      <c r="M79" s="34">
        <f>E79-K79</f>
        <v>1000</v>
      </c>
      <c r="N79" s="35">
        <f t="shared" si="8"/>
        <v>1000</v>
      </c>
      <c r="O79" s="64">
        <v>0</v>
      </c>
      <c r="P79" s="65">
        <v>0</v>
      </c>
      <c r="Q79" s="1"/>
      <c r="R79" s="1"/>
    </row>
    <row r="80" spans="1:18" ht="26.25" customHeight="1" thickBot="1">
      <c r="A80" s="69" t="s">
        <v>120</v>
      </c>
      <c r="B80" s="408" t="s">
        <v>121</v>
      </c>
      <c r="C80" s="409"/>
      <c r="D80" s="410"/>
      <c r="E80" s="53">
        <f>E81</f>
        <v>0</v>
      </c>
      <c r="F80" s="73">
        <f>F81</f>
        <v>0</v>
      </c>
      <c r="G80" s="75">
        <f>G81+G82</f>
        <v>0</v>
      </c>
      <c r="H80" s="55"/>
      <c r="I80" s="55"/>
      <c r="J80" s="55"/>
      <c r="K80" s="55">
        <f>0+J80+G80</f>
        <v>0</v>
      </c>
      <c r="L80" s="55">
        <f>0+K80</f>
        <v>0</v>
      </c>
      <c r="M80" s="56">
        <f t="shared" si="8"/>
        <v>0</v>
      </c>
      <c r="N80" s="70">
        <f t="shared" si="8"/>
        <v>0</v>
      </c>
      <c r="O80" s="58">
        <v>0</v>
      </c>
      <c r="P80" s="59">
        <v>0</v>
      </c>
      <c r="Q80" s="1"/>
      <c r="R80" s="1"/>
    </row>
    <row r="81" spans="1:18" ht="28.5" customHeight="1" thickBot="1">
      <c r="A81" s="60" t="s">
        <v>122</v>
      </c>
      <c r="B81" s="405" t="s">
        <v>53</v>
      </c>
      <c r="C81" s="406"/>
      <c r="D81" s="407"/>
      <c r="E81" s="81"/>
      <c r="F81" s="31">
        <f>0+E81</f>
        <v>0</v>
      </c>
      <c r="G81" s="89"/>
      <c r="H81" s="90"/>
      <c r="I81" s="91"/>
      <c r="J81" s="90"/>
      <c r="K81" s="33">
        <f>0+J81+G81</f>
        <v>0</v>
      </c>
      <c r="L81" s="33">
        <f>0+K81</f>
        <v>0</v>
      </c>
      <c r="M81" s="34">
        <f t="shared" si="8"/>
        <v>0</v>
      </c>
      <c r="N81" s="35">
        <f t="shared" si="8"/>
        <v>0</v>
      </c>
      <c r="O81" s="64">
        <v>0</v>
      </c>
      <c r="P81" s="65">
        <v>0</v>
      </c>
      <c r="Q81" s="1"/>
      <c r="R81" s="1"/>
    </row>
    <row r="82" spans="1:18" ht="24.75" customHeight="1" thickBot="1">
      <c r="A82" s="60" t="s">
        <v>123</v>
      </c>
      <c r="B82" s="77" t="s">
        <v>55</v>
      </c>
      <c r="C82" s="78"/>
      <c r="D82" s="88"/>
      <c r="E82" s="81"/>
      <c r="F82" s="33"/>
      <c r="G82" s="74"/>
      <c r="H82" s="92"/>
      <c r="I82" s="33"/>
      <c r="J82" s="92"/>
      <c r="K82" s="33">
        <f>0+J82</f>
        <v>0</v>
      </c>
      <c r="L82" s="33"/>
      <c r="M82" s="34">
        <f>E82-K82</f>
        <v>0</v>
      </c>
      <c r="N82" s="35">
        <f t="shared" si="8"/>
        <v>0</v>
      </c>
      <c r="O82" s="64">
        <v>0</v>
      </c>
      <c r="P82" s="65">
        <v>0</v>
      </c>
      <c r="Q82" s="1"/>
      <c r="R82" s="1"/>
    </row>
    <row r="83" spans="1:18" ht="15">
      <c r="A83" s="449"/>
      <c r="B83" s="451" t="s">
        <v>43</v>
      </c>
      <c r="C83" s="452"/>
      <c r="D83" s="452"/>
      <c r="E83" s="452"/>
      <c r="F83" s="452"/>
      <c r="G83" s="452"/>
      <c r="H83" s="452"/>
      <c r="I83" s="452"/>
      <c r="J83" s="452"/>
      <c r="K83" s="452"/>
      <c r="L83" s="452"/>
      <c r="M83" s="452"/>
      <c r="N83" s="452"/>
      <c r="O83" s="452"/>
      <c r="P83" s="453"/>
      <c r="Q83" s="1"/>
      <c r="R83" s="1"/>
    </row>
    <row r="84" spans="1:18" ht="4.5" customHeight="1" thickBot="1">
      <c r="A84" s="450"/>
      <c r="B84" s="454"/>
      <c r="C84" s="455"/>
      <c r="D84" s="455"/>
      <c r="E84" s="455"/>
      <c r="F84" s="455"/>
      <c r="G84" s="455"/>
      <c r="H84" s="455"/>
      <c r="I84" s="455"/>
      <c r="J84" s="455"/>
      <c r="K84" s="455"/>
      <c r="L84" s="455"/>
      <c r="M84" s="455"/>
      <c r="N84" s="455"/>
      <c r="O84" s="455"/>
      <c r="P84" s="456"/>
      <c r="Q84" s="1"/>
      <c r="R84" s="1"/>
    </row>
    <row r="85" spans="1:18" ht="15.75" thickBot="1">
      <c r="A85" s="449"/>
      <c r="B85" s="364" t="s">
        <v>14</v>
      </c>
      <c r="C85" s="365"/>
      <c r="D85" s="366"/>
      <c r="E85" s="401" t="s">
        <v>24</v>
      </c>
      <c r="F85" s="403" t="s">
        <v>25</v>
      </c>
      <c r="G85" s="338" t="s">
        <v>44</v>
      </c>
      <c r="H85" s="321"/>
      <c r="I85" s="321"/>
      <c r="J85" s="321"/>
      <c r="K85" s="339"/>
      <c r="L85" s="340" t="s">
        <v>16</v>
      </c>
      <c r="M85" s="340" t="s">
        <v>17</v>
      </c>
      <c r="N85" s="340" t="s">
        <v>18</v>
      </c>
      <c r="O85" s="340" t="s">
        <v>19</v>
      </c>
      <c r="P85" s="340" t="s">
        <v>20</v>
      </c>
      <c r="Q85" s="1"/>
      <c r="R85" s="1"/>
    </row>
    <row r="86" spans="1:18" ht="66" customHeight="1" thickBot="1">
      <c r="A86" s="450"/>
      <c r="B86" s="367"/>
      <c r="C86" s="368"/>
      <c r="D86" s="369"/>
      <c r="E86" s="402"/>
      <c r="F86" s="404"/>
      <c r="G86" s="47" t="s">
        <v>45</v>
      </c>
      <c r="H86" s="47" t="s">
        <v>46</v>
      </c>
      <c r="I86" s="47" t="s">
        <v>47</v>
      </c>
      <c r="J86" s="7" t="s">
        <v>124</v>
      </c>
      <c r="K86" s="8" t="s">
        <v>27</v>
      </c>
      <c r="L86" s="341"/>
      <c r="M86" s="341"/>
      <c r="N86" s="341"/>
      <c r="O86" s="341"/>
      <c r="P86" s="341"/>
      <c r="Q86" s="1"/>
      <c r="R86" s="1"/>
    </row>
    <row r="87" spans="1:18" ht="15.75" thickBot="1">
      <c r="A87" s="60"/>
      <c r="B87" s="342">
        <v>1</v>
      </c>
      <c r="C87" s="343"/>
      <c r="D87" s="344"/>
      <c r="E87" s="17" t="s">
        <v>22</v>
      </c>
      <c r="F87" s="47">
        <v>3</v>
      </c>
      <c r="G87" s="47">
        <v>4</v>
      </c>
      <c r="H87" s="47">
        <v>5</v>
      </c>
      <c r="I87" s="7">
        <v>6</v>
      </c>
      <c r="J87" s="7">
        <v>7</v>
      </c>
      <c r="K87" s="48">
        <v>8</v>
      </c>
      <c r="L87" s="20">
        <v>9</v>
      </c>
      <c r="M87" s="7">
        <v>10</v>
      </c>
      <c r="N87" s="20">
        <v>11</v>
      </c>
      <c r="O87" s="7">
        <v>12</v>
      </c>
      <c r="P87" s="20">
        <v>13</v>
      </c>
      <c r="Q87" s="1"/>
      <c r="R87" s="1"/>
    </row>
    <row r="88" spans="1:18" ht="40.5" customHeight="1" thickBot="1">
      <c r="A88" s="51" t="s">
        <v>125</v>
      </c>
      <c r="B88" s="408" t="s">
        <v>126</v>
      </c>
      <c r="C88" s="409"/>
      <c r="D88" s="410"/>
      <c r="E88" s="53">
        <f>E89</f>
        <v>37380</v>
      </c>
      <c r="F88" s="73">
        <f>F89+F90+F91+F92</f>
        <v>37380</v>
      </c>
      <c r="G88" s="53">
        <f>G89+G90+G91+G92</f>
        <v>29626.8</v>
      </c>
      <c r="H88" s="55"/>
      <c r="I88" s="55">
        <f>I89+I90+I91</f>
        <v>0</v>
      </c>
      <c r="J88" s="55"/>
      <c r="K88" s="93">
        <f>K89+K90+K91+K92</f>
        <v>29626.8</v>
      </c>
      <c r="L88" s="55">
        <f>L89+L90+L91+L92</f>
        <v>29626.8</v>
      </c>
      <c r="M88" s="56">
        <f aca="true" t="shared" si="9" ref="M88:N103">E88-K88</f>
        <v>7753.200000000001</v>
      </c>
      <c r="N88" s="70">
        <f t="shared" si="9"/>
        <v>7753.200000000001</v>
      </c>
      <c r="O88" s="58">
        <v>0</v>
      </c>
      <c r="P88" s="59">
        <v>0</v>
      </c>
      <c r="Q88" s="37"/>
      <c r="R88" s="1"/>
    </row>
    <row r="89" spans="1:18" ht="28.5" customHeight="1" thickBot="1">
      <c r="A89" s="60" t="s">
        <v>127</v>
      </c>
      <c r="B89" s="405" t="s">
        <v>53</v>
      </c>
      <c r="C89" s="406"/>
      <c r="D89" s="407"/>
      <c r="E89" s="61">
        <f>E93+E94+E96+E97+E98+E100+E99+E95</f>
        <v>37380</v>
      </c>
      <c r="F89" s="31">
        <f>0+E89</f>
        <v>37380</v>
      </c>
      <c r="G89" s="45">
        <f>G93+G94+G96+G97+G98+G99+G100</f>
        <v>29626.8</v>
      </c>
      <c r="H89" s="33"/>
      <c r="I89" s="33"/>
      <c r="J89" s="33"/>
      <c r="K89" s="94">
        <f>G89</f>
        <v>29626.8</v>
      </c>
      <c r="L89" s="33">
        <f>L93+L94+L96+L97+L98+L99+L100+L95</f>
        <v>29626.8</v>
      </c>
      <c r="M89" s="34">
        <f t="shared" si="9"/>
        <v>7753.200000000001</v>
      </c>
      <c r="N89" s="35">
        <f t="shared" si="9"/>
        <v>7753.200000000001</v>
      </c>
      <c r="O89" s="64">
        <v>0</v>
      </c>
      <c r="P89" s="65">
        <v>0</v>
      </c>
      <c r="Q89" s="37"/>
      <c r="R89" s="1"/>
    </row>
    <row r="90" spans="1:18" ht="26.25" customHeight="1" thickBot="1">
      <c r="A90" s="60" t="s">
        <v>128</v>
      </c>
      <c r="B90" s="457" t="s">
        <v>51</v>
      </c>
      <c r="C90" s="458"/>
      <c r="D90" s="459"/>
      <c r="E90" s="61"/>
      <c r="F90" s="31"/>
      <c r="G90" s="45"/>
      <c r="H90" s="33"/>
      <c r="I90" s="33"/>
      <c r="J90" s="33"/>
      <c r="K90" s="94">
        <f aca="true" t="shared" si="10" ref="K90:K99">G90</f>
        <v>0</v>
      </c>
      <c r="L90" s="33"/>
      <c r="M90" s="34">
        <f t="shared" si="9"/>
        <v>0</v>
      </c>
      <c r="N90" s="35">
        <f t="shared" si="9"/>
        <v>0</v>
      </c>
      <c r="O90" s="64">
        <v>0</v>
      </c>
      <c r="P90" s="65">
        <v>0</v>
      </c>
      <c r="Q90" s="37"/>
      <c r="R90" s="1"/>
    </row>
    <row r="91" spans="1:18" ht="30" customHeight="1" thickBot="1">
      <c r="A91" s="60" t="s">
        <v>129</v>
      </c>
      <c r="B91" s="405" t="s">
        <v>104</v>
      </c>
      <c r="C91" s="406"/>
      <c r="D91" s="407"/>
      <c r="E91" s="61"/>
      <c r="F91" s="31"/>
      <c r="G91" s="45"/>
      <c r="H91" s="33"/>
      <c r="I91" s="33">
        <f>I97</f>
        <v>0</v>
      </c>
      <c r="J91" s="33"/>
      <c r="K91" s="94">
        <f>I91</f>
        <v>0</v>
      </c>
      <c r="L91" s="33">
        <f>0+K91</f>
        <v>0</v>
      </c>
      <c r="M91" s="34">
        <f t="shared" si="9"/>
        <v>0</v>
      </c>
      <c r="N91" s="35">
        <f t="shared" si="9"/>
        <v>0</v>
      </c>
      <c r="O91" s="64">
        <v>0</v>
      </c>
      <c r="P91" s="65">
        <v>0</v>
      </c>
      <c r="Q91" s="37"/>
      <c r="R91" s="1"/>
    </row>
    <row r="92" spans="1:18" ht="25.5" customHeight="1" thickBot="1">
      <c r="A92" s="60" t="s">
        <v>130</v>
      </c>
      <c r="B92" s="405" t="s">
        <v>55</v>
      </c>
      <c r="C92" s="406"/>
      <c r="D92" s="407"/>
      <c r="E92" s="61"/>
      <c r="F92" s="31"/>
      <c r="G92" s="45"/>
      <c r="H92" s="33"/>
      <c r="I92" s="33"/>
      <c r="J92" s="33"/>
      <c r="K92" s="94">
        <f t="shared" si="10"/>
        <v>0</v>
      </c>
      <c r="L92" s="33">
        <f>0+K92</f>
        <v>0</v>
      </c>
      <c r="M92" s="34">
        <f t="shared" si="9"/>
        <v>0</v>
      </c>
      <c r="N92" s="35">
        <f t="shared" si="9"/>
        <v>0</v>
      </c>
      <c r="O92" s="64">
        <v>0</v>
      </c>
      <c r="P92" s="65">
        <v>0</v>
      </c>
      <c r="Q92" s="37"/>
      <c r="R92" s="80"/>
    </row>
    <row r="93" spans="1:18" ht="23.25" customHeight="1" thickBot="1">
      <c r="A93" s="60" t="s">
        <v>131</v>
      </c>
      <c r="B93" s="420" t="s">
        <v>132</v>
      </c>
      <c r="C93" s="421"/>
      <c r="D93" s="422"/>
      <c r="E93" s="152">
        <v>3150</v>
      </c>
      <c r="F93" s="31">
        <f>0+E93</f>
        <v>3150</v>
      </c>
      <c r="G93" s="45"/>
      <c r="H93" s="74"/>
      <c r="I93" s="74"/>
      <c r="J93" s="74"/>
      <c r="K93" s="94">
        <f t="shared" si="10"/>
        <v>0</v>
      </c>
      <c r="L93" s="33">
        <f aca="true" t="shared" si="11" ref="L93:L98">0+K93</f>
        <v>0</v>
      </c>
      <c r="M93" s="34">
        <f t="shared" si="9"/>
        <v>3150</v>
      </c>
      <c r="N93" s="35">
        <f t="shared" si="9"/>
        <v>3150</v>
      </c>
      <c r="O93" s="64">
        <v>0</v>
      </c>
      <c r="P93" s="65">
        <v>0</v>
      </c>
      <c r="Q93" s="1"/>
      <c r="R93" s="37"/>
    </row>
    <row r="94" spans="1:18" ht="30" customHeight="1" thickBot="1">
      <c r="A94" s="60" t="s">
        <v>133</v>
      </c>
      <c r="B94" s="414" t="s">
        <v>134</v>
      </c>
      <c r="C94" s="415"/>
      <c r="D94" s="416"/>
      <c r="E94" s="152">
        <v>4600</v>
      </c>
      <c r="F94" s="31">
        <f>0+E94</f>
        <v>4600</v>
      </c>
      <c r="G94" s="45">
        <v>13200</v>
      </c>
      <c r="H94" s="74"/>
      <c r="I94" s="74"/>
      <c r="J94" s="74"/>
      <c r="K94" s="94">
        <f>G94</f>
        <v>13200</v>
      </c>
      <c r="L94" s="33">
        <f t="shared" si="11"/>
        <v>13200</v>
      </c>
      <c r="M94" s="34">
        <f t="shared" si="9"/>
        <v>-8600</v>
      </c>
      <c r="N94" s="35">
        <f t="shared" si="9"/>
        <v>-8600</v>
      </c>
      <c r="O94" s="64">
        <v>0</v>
      </c>
      <c r="P94" s="65">
        <v>0</v>
      </c>
      <c r="Q94" s="1"/>
      <c r="R94" s="1"/>
    </row>
    <row r="95" spans="1:18" ht="25.5" customHeight="1" thickBot="1">
      <c r="A95" s="60" t="s">
        <v>135</v>
      </c>
      <c r="B95" s="414" t="s">
        <v>136</v>
      </c>
      <c r="C95" s="415"/>
      <c r="D95" s="416"/>
      <c r="E95" s="152"/>
      <c r="F95" s="31">
        <f>0+E95</f>
        <v>0</v>
      </c>
      <c r="G95" s="45"/>
      <c r="H95" s="74"/>
      <c r="I95" s="74"/>
      <c r="J95" s="74"/>
      <c r="K95" s="94">
        <f t="shared" si="10"/>
        <v>0</v>
      </c>
      <c r="L95" s="33">
        <f t="shared" si="11"/>
        <v>0</v>
      </c>
      <c r="M95" s="34">
        <f t="shared" si="9"/>
        <v>0</v>
      </c>
      <c r="N95" s="35">
        <f t="shared" si="9"/>
        <v>0</v>
      </c>
      <c r="O95" s="64">
        <v>0</v>
      </c>
      <c r="P95" s="65">
        <v>0</v>
      </c>
      <c r="Q95" s="1"/>
      <c r="R95" s="1"/>
    </row>
    <row r="96" spans="1:18" ht="24.75" customHeight="1" thickBot="1">
      <c r="A96" s="60" t="s">
        <v>137</v>
      </c>
      <c r="B96" s="414" t="s">
        <v>138</v>
      </c>
      <c r="C96" s="415"/>
      <c r="D96" s="416"/>
      <c r="E96" s="152">
        <v>1420</v>
      </c>
      <c r="F96" s="31">
        <f aca="true" t="shared" si="12" ref="F96:F103">0+E96</f>
        <v>1420</v>
      </c>
      <c r="G96" s="45">
        <v>845</v>
      </c>
      <c r="H96" s="74"/>
      <c r="I96" s="74"/>
      <c r="J96" s="74"/>
      <c r="K96" s="94">
        <f t="shared" si="10"/>
        <v>845</v>
      </c>
      <c r="L96" s="33">
        <f t="shared" si="11"/>
        <v>845</v>
      </c>
      <c r="M96" s="34">
        <f t="shared" si="9"/>
        <v>575</v>
      </c>
      <c r="N96" s="35">
        <f t="shared" si="9"/>
        <v>575</v>
      </c>
      <c r="O96" s="64">
        <v>0</v>
      </c>
      <c r="P96" s="65">
        <v>0</v>
      </c>
      <c r="Q96" s="1"/>
      <c r="R96" s="1"/>
    </row>
    <row r="97" spans="1:18" ht="24" customHeight="1" thickBot="1">
      <c r="A97" s="60" t="s">
        <v>139</v>
      </c>
      <c r="B97" s="420" t="s">
        <v>140</v>
      </c>
      <c r="C97" s="421"/>
      <c r="D97" s="422"/>
      <c r="E97" s="152">
        <v>7500</v>
      </c>
      <c r="F97" s="31">
        <f t="shared" si="12"/>
        <v>7500</v>
      </c>
      <c r="G97" s="45">
        <v>3439</v>
      </c>
      <c r="H97" s="74"/>
      <c r="I97" s="74"/>
      <c r="J97" s="74"/>
      <c r="K97" s="94">
        <f>G97+I97</f>
        <v>3439</v>
      </c>
      <c r="L97" s="33">
        <f t="shared" si="11"/>
        <v>3439</v>
      </c>
      <c r="M97" s="34">
        <f t="shared" si="9"/>
        <v>4061</v>
      </c>
      <c r="N97" s="35">
        <f t="shared" si="9"/>
        <v>4061</v>
      </c>
      <c r="O97" s="64">
        <v>0</v>
      </c>
      <c r="P97" s="65">
        <v>0</v>
      </c>
      <c r="Q97" s="1"/>
      <c r="R97" s="71"/>
    </row>
    <row r="98" spans="1:16" ht="23.25" customHeight="1" thickBot="1">
      <c r="A98" s="60" t="s">
        <v>141</v>
      </c>
      <c r="B98" s="420" t="s">
        <v>142</v>
      </c>
      <c r="C98" s="421"/>
      <c r="D98" s="422"/>
      <c r="E98" s="152">
        <v>2910</v>
      </c>
      <c r="F98" s="31">
        <f t="shared" si="12"/>
        <v>2910</v>
      </c>
      <c r="G98" s="45">
        <v>2772</v>
      </c>
      <c r="H98" s="74"/>
      <c r="I98" s="74"/>
      <c r="J98" s="74"/>
      <c r="K98" s="94">
        <f t="shared" si="10"/>
        <v>2772</v>
      </c>
      <c r="L98" s="33">
        <f t="shared" si="11"/>
        <v>2772</v>
      </c>
      <c r="M98" s="34">
        <f t="shared" si="9"/>
        <v>138</v>
      </c>
      <c r="N98" s="35">
        <f t="shared" si="9"/>
        <v>138</v>
      </c>
      <c r="O98" s="64">
        <v>0</v>
      </c>
      <c r="P98" s="65">
        <v>0</v>
      </c>
    </row>
    <row r="99" spans="1:16" ht="31.5" customHeight="1" thickBot="1">
      <c r="A99" s="60" t="s">
        <v>143</v>
      </c>
      <c r="B99" s="420" t="s">
        <v>144</v>
      </c>
      <c r="C99" s="421"/>
      <c r="D99" s="422"/>
      <c r="E99" s="152">
        <v>8000</v>
      </c>
      <c r="F99" s="31">
        <f t="shared" si="12"/>
        <v>8000</v>
      </c>
      <c r="G99" s="45"/>
      <c r="H99" s="74"/>
      <c r="I99" s="74"/>
      <c r="J99" s="74"/>
      <c r="K99" s="94">
        <f t="shared" si="10"/>
        <v>0</v>
      </c>
      <c r="L99" s="33">
        <f>0+K99</f>
        <v>0</v>
      </c>
      <c r="M99" s="34">
        <f t="shared" si="9"/>
        <v>8000</v>
      </c>
      <c r="N99" s="35">
        <f t="shared" si="9"/>
        <v>8000</v>
      </c>
      <c r="O99" s="64">
        <v>0</v>
      </c>
      <c r="P99" s="65">
        <v>0</v>
      </c>
    </row>
    <row r="100" spans="1:16" ht="28.5" customHeight="1" thickBot="1">
      <c r="A100" s="60" t="s">
        <v>145</v>
      </c>
      <c r="B100" s="420" t="s">
        <v>146</v>
      </c>
      <c r="C100" s="421"/>
      <c r="D100" s="422"/>
      <c r="E100" s="152">
        <v>9800</v>
      </c>
      <c r="F100" s="31">
        <f t="shared" si="12"/>
        <v>9800</v>
      </c>
      <c r="G100" s="45">
        <v>9370.8</v>
      </c>
      <c r="H100" s="74"/>
      <c r="I100" s="74"/>
      <c r="J100" s="74"/>
      <c r="K100" s="94">
        <f>G100</f>
        <v>9370.8</v>
      </c>
      <c r="L100" s="33">
        <f>0+K100</f>
        <v>9370.8</v>
      </c>
      <c r="M100" s="34">
        <f t="shared" si="9"/>
        <v>429.2000000000007</v>
      </c>
      <c r="N100" s="35">
        <f t="shared" si="9"/>
        <v>429.2000000000007</v>
      </c>
      <c r="O100" s="64">
        <v>0</v>
      </c>
      <c r="P100" s="65">
        <v>0</v>
      </c>
    </row>
    <row r="101" spans="1:18" ht="34.5" customHeight="1" thickBot="1">
      <c r="A101" s="86" t="s">
        <v>147</v>
      </c>
      <c r="B101" s="423" t="s">
        <v>148</v>
      </c>
      <c r="C101" s="424"/>
      <c r="D101" s="425"/>
      <c r="E101" s="73">
        <f>E102+E103</f>
        <v>42900</v>
      </c>
      <c r="F101" s="73">
        <f t="shared" si="12"/>
        <v>42900</v>
      </c>
      <c r="G101" s="73">
        <f>G102+G104+G105</f>
        <v>800</v>
      </c>
      <c r="H101" s="75">
        <f>H103</f>
        <v>0</v>
      </c>
      <c r="I101" s="55">
        <f>I104</f>
        <v>0</v>
      </c>
      <c r="J101" s="55"/>
      <c r="K101" s="73">
        <f>G101+H101+I101+J101</f>
        <v>800</v>
      </c>
      <c r="L101" s="55">
        <f>L102+L103+L104+L105</f>
        <v>800</v>
      </c>
      <c r="M101" s="56">
        <f t="shared" si="9"/>
        <v>42100</v>
      </c>
      <c r="N101" s="70">
        <f t="shared" si="9"/>
        <v>42100</v>
      </c>
      <c r="O101" s="58">
        <v>0</v>
      </c>
      <c r="P101" s="59">
        <v>0</v>
      </c>
      <c r="R101" s="95"/>
    </row>
    <row r="102" spans="1:18" ht="27.75" customHeight="1" thickBot="1">
      <c r="A102" s="60" t="s">
        <v>149</v>
      </c>
      <c r="B102" s="405" t="s">
        <v>53</v>
      </c>
      <c r="C102" s="406"/>
      <c r="D102" s="407"/>
      <c r="E102" s="61">
        <f>E106+E107+E114+E119+E131+E113+E128+E115+E120</f>
        <v>42900</v>
      </c>
      <c r="F102" s="31">
        <f t="shared" si="12"/>
        <v>42900</v>
      </c>
      <c r="G102" s="74">
        <f>G106+G107+G108+G109+G110+G111+G112+G113+G114+G115+G116+G117+G118+G119+G126+G127+G128+G129+G130+G131+G120</f>
        <v>800</v>
      </c>
      <c r="H102" s="74"/>
      <c r="I102" s="33"/>
      <c r="J102" s="33"/>
      <c r="K102" s="94">
        <f>G102</f>
        <v>800</v>
      </c>
      <c r="L102" s="33">
        <f>0+K102</f>
        <v>800</v>
      </c>
      <c r="M102" s="34">
        <f t="shared" si="9"/>
        <v>42100</v>
      </c>
      <c r="N102" s="35">
        <f t="shared" si="9"/>
        <v>42100</v>
      </c>
      <c r="O102" s="64">
        <v>0</v>
      </c>
      <c r="P102" s="65">
        <v>0</v>
      </c>
      <c r="R102" s="95"/>
    </row>
    <row r="103" spans="1:18" ht="21.75" customHeight="1" thickBot="1">
      <c r="A103" s="60" t="s">
        <v>150</v>
      </c>
      <c r="B103" s="457" t="s">
        <v>51</v>
      </c>
      <c r="C103" s="458"/>
      <c r="D103" s="459"/>
      <c r="E103" s="61">
        <f>E129</f>
        <v>0</v>
      </c>
      <c r="F103" s="31">
        <f t="shared" si="12"/>
        <v>0</v>
      </c>
      <c r="G103" s="74"/>
      <c r="H103" s="74">
        <f>H129</f>
        <v>0</v>
      </c>
      <c r="I103" s="33"/>
      <c r="J103" s="33"/>
      <c r="K103" s="94">
        <f>H103</f>
        <v>0</v>
      </c>
      <c r="L103" s="33">
        <f>0+K103</f>
        <v>0</v>
      </c>
      <c r="M103" s="34">
        <f t="shared" si="9"/>
        <v>0</v>
      </c>
      <c r="N103" s="35">
        <f t="shared" si="9"/>
        <v>0</v>
      </c>
      <c r="O103" s="64">
        <v>0</v>
      </c>
      <c r="P103" s="65">
        <v>0</v>
      </c>
      <c r="R103" s="96"/>
    </row>
    <row r="104" spans="1:16" ht="27" customHeight="1" thickBot="1">
      <c r="A104" s="60" t="s">
        <v>151</v>
      </c>
      <c r="B104" s="405" t="s">
        <v>104</v>
      </c>
      <c r="C104" s="406"/>
      <c r="D104" s="407"/>
      <c r="E104" s="61"/>
      <c r="F104" s="31"/>
      <c r="G104" s="31"/>
      <c r="H104" s="74"/>
      <c r="I104" s="33">
        <f>I128+I117+I131</f>
        <v>0</v>
      </c>
      <c r="J104" s="33"/>
      <c r="K104" s="94">
        <f>I104</f>
        <v>0</v>
      </c>
      <c r="L104" s="33">
        <f>0+K104</f>
        <v>0</v>
      </c>
      <c r="M104" s="34">
        <f aca="true" t="shared" si="13" ref="M104:N120">E104-K104</f>
        <v>0</v>
      </c>
      <c r="N104" s="35">
        <f t="shared" si="13"/>
        <v>0</v>
      </c>
      <c r="O104" s="64">
        <v>0</v>
      </c>
      <c r="P104" s="65">
        <v>0</v>
      </c>
    </row>
    <row r="105" spans="1:18" ht="21" customHeight="1" thickBot="1">
      <c r="A105" s="60" t="s">
        <v>152</v>
      </c>
      <c r="B105" s="457" t="s">
        <v>55</v>
      </c>
      <c r="C105" s="458"/>
      <c r="D105" s="459"/>
      <c r="E105" s="61"/>
      <c r="F105" s="31"/>
      <c r="G105" s="74"/>
      <c r="H105" s="74"/>
      <c r="I105" s="33"/>
      <c r="J105" s="33"/>
      <c r="K105" s="94">
        <f>G105</f>
        <v>0</v>
      </c>
      <c r="L105" s="33">
        <f>0+K105</f>
        <v>0</v>
      </c>
      <c r="M105" s="34">
        <f t="shared" si="13"/>
        <v>0</v>
      </c>
      <c r="N105" s="35">
        <f t="shared" si="13"/>
        <v>0</v>
      </c>
      <c r="O105" s="64">
        <v>0</v>
      </c>
      <c r="P105" s="65">
        <v>0</v>
      </c>
      <c r="R105" s="95"/>
    </row>
    <row r="106" spans="1:16" ht="30.75" customHeight="1" thickBot="1">
      <c r="A106" s="60" t="s">
        <v>153</v>
      </c>
      <c r="B106" s="460" t="s">
        <v>154</v>
      </c>
      <c r="C106" s="461"/>
      <c r="D106" s="462"/>
      <c r="E106" s="31">
        <v>20000</v>
      </c>
      <c r="F106" s="31">
        <f>0+E106</f>
        <v>20000</v>
      </c>
      <c r="G106" s="74"/>
      <c r="H106" s="74"/>
      <c r="I106" s="74"/>
      <c r="J106" s="74"/>
      <c r="K106" s="94">
        <f aca="true" t="shared" si="14" ref="K106:K120">G106</f>
        <v>0</v>
      </c>
      <c r="L106" s="33">
        <f>0+K106</f>
        <v>0</v>
      </c>
      <c r="M106" s="34">
        <f t="shared" si="13"/>
        <v>20000</v>
      </c>
      <c r="N106" s="35">
        <f t="shared" si="13"/>
        <v>20000</v>
      </c>
      <c r="O106" s="64">
        <v>0</v>
      </c>
      <c r="P106" s="65">
        <v>0</v>
      </c>
    </row>
    <row r="107" spans="1:16" ht="33" customHeight="1" thickBot="1">
      <c r="A107" s="60" t="s">
        <v>155</v>
      </c>
      <c r="B107" s="420" t="s">
        <v>156</v>
      </c>
      <c r="C107" s="421"/>
      <c r="D107" s="422"/>
      <c r="E107" s="31">
        <v>11200</v>
      </c>
      <c r="F107" s="31">
        <f>0+E107</f>
        <v>11200</v>
      </c>
      <c r="G107" s="74"/>
      <c r="H107" s="74"/>
      <c r="I107" s="74"/>
      <c r="J107" s="74"/>
      <c r="K107" s="94">
        <f t="shared" si="14"/>
        <v>0</v>
      </c>
      <c r="L107" s="33">
        <f>0+K107</f>
        <v>0</v>
      </c>
      <c r="M107" s="34">
        <f t="shared" si="13"/>
        <v>11200</v>
      </c>
      <c r="N107" s="35">
        <f t="shared" si="13"/>
        <v>11200</v>
      </c>
      <c r="O107" s="64">
        <v>0</v>
      </c>
      <c r="P107" s="65">
        <v>0</v>
      </c>
    </row>
    <row r="108" spans="1:16" ht="33.75" customHeight="1" thickBot="1">
      <c r="A108" s="60" t="s">
        <v>157</v>
      </c>
      <c r="B108" s="466" t="s">
        <v>158</v>
      </c>
      <c r="C108" s="467"/>
      <c r="D108" s="468"/>
      <c r="E108" s="31"/>
      <c r="F108" s="31"/>
      <c r="G108" s="74"/>
      <c r="H108" s="74"/>
      <c r="I108" s="74"/>
      <c r="J108" s="74"/>
      <c r="K108" s="94">
        <f t="shared" si="14"/>
        <v>0</v>
      </c>
      <c r="L108" s="33">
        <f>0+K108</f>
        <v>0</v>
      </c>
      <c r="M108" s="34">
        <f t="shared" si="13"/>
        <v>0</v>
      </c>
      <c r="N108" s="35">
        <f t="shared" si="13"/>
        <v>0</v>
      </c>
      <c r="O108" s="64">
        <v>0</v>
      </c>
      <c r="P108" s="65">
        <v>0</v>
      </c>
    </row>
    <row r="109" spans="1:16" ht="23.25" customHeight="1" thickBot="1">
      <c r="A109" s="60" t="s">
        <v>159</v>
      </c>
      <c r="B109" s="420" t="s">
        <v>160</v>
      </c>
      <c r="C109" s="421"/>
      <c r="D109" s="422"/>
      <c r="E109" s="31"/>
      <c r="F109" s="31"/>
      <c r="G109" s="74"/>
      <c r="H109" s="74"/>
      <c r="I109" s="74"/>
      <c r="J109" s="74"/>
      <c r="K109" s="94">
        <f t="shared" si="14"/>
        <v>0</v>
      </c>
      <c r="L109" s="33">
        <f>0+K109</f>
        <v>0</v>
      </c>
      <c r="M109" s="34">
        <f t="shared" si="13"/>
        <v>0</v>
      </c>
      <c r="N109" s="35">
        <f t="shared" si="13"/>
        <v>0</v>
      </c>
      <c r="O109" s="64">
        <v>0</v>
      </c>
      <c r="P109" s="65">
        <v>0</v>
      </c>
    </row>
    <row r="110" spans="1:18" ht="30.75" customHeight="1" thickBot="1">
      <c r="A110" s="60" t="s">
        <v>161</v>
      </c>
      <c r="B110" s="420" t="s">
        <v>162</v>
      </c>
      <c r="C110" s="421"/>
      <c r="D110" s="422"/>
      <c r="E110" s="31"/>
      <c r="F110" s="31"/>
      <c r="G110" s="74"/>
      <c r="H110" s="74"/>
      <c r="I110" s="74"/>
      <c r="J110" s="74"/>
      <c r="K110" s="94">
        <f t="shared" si="14"/>
        <v>0</v>
      </c>
      <c r="L110" s="33">
        <f>0+K110</f>
        <v>0</v>
      </c>
      <c r="M110" s="34">
        <f t="shared" si="13"/>
        <v>0</v>
      </c>
      <c r="N110" s="35">
        <f t="shared" si="13"/>
        <v>0</v>
      </c>
      <c r="O110" s="64">
        <v>0</v>
      </c>
      <c r="P110" s="65">
        <v>0</v>
      </c>
      <c r="R110" s="96"/>
    </row>
    <row r="111" spans="1:16" ht="30" customHeight="1" thickBot="1">
      <c r="A111" s="60" t="s">
        <v>163</v>
      </c>
      <c r="B111" s="466" t="s">
        <v>164</v>
      </c>
      <c r="C111" s="467"/>
      <c r="D111" s="468"/>
      <c r="E111" s="31"/>
      <c r="F111" s="31"/>
      <c r="G111" s="74"/>
      <c r="H111" s="74"/>
      <c r="I111" s="74"/>
      <c r="J111" s="74"/>
      <c r="K111" s="94">
        <f t="shared" si="14"/>
        <v>0</v>
      </c>
      <c r="L111" s="33">
        <f>0+K111</f>
        <v>0</v>
      </c>
      <c r="M111" s="34">
        <f t="shared" si="13"/>
        <v>0</v>
      </c>
      <c r="N111" s="35">
        <f t="shared" si="13"/>
        <v>0</v>
      </c>
      <c r="O111" s="64">
        <v>0</v>
      </c>
      <c r="P111" s="65">
        <v>0</v>
      </c>
    </row>
    <row r="112" spans="1:16" ht="27.75" customHeight="1" thickBot="1">
      <c r="A112" s="60" t="s">
        <v>165</v>
      </c>
      <c r="B112" s="420" t="s">
        <v>166</v>
      </c>
      <c r="C112" s="421"/>
      <c r="D112" s="422"/>
      <c r="E112" s="31"/>
      <c r="F112" s="31"/>
      <c r="G112" s="74"/>
      <c r="H112" s="74"/>
      <c r="I112" s="74"/>
      <c r="J112" s="74"/>
      <c r="K112" s="94">
        <f t="shared" si="14"/>
        <v>0</v>
      </c>
      <c r="L112" s="33">
        <f>0+K112</f>
        <v>0</v>
      </c>
      <c r="M112" s="34">
        <f t="shared" si="13"/>
        <v>0</v>
      </c>
      <c r="N112" s="35">
        <f t="shared" si="13"/>
        <v>0</v>
      </c>
      <c r="O112" s="64">
        <v>0</v>
      </c>
      <c r="P112" s="65">
        <v>0</v>
      </c>
    </row>
    <row r="113" spans="1:16" ht="24" customHeight="1" thickBot="1">
      <c r="A113" s="60" t="s">
        <v>167</v>
      </c>
      <c r="B113" s="420" t="s">
        <v>168</v>
      </c>
      <c r="C113" s="421"/>
      <c r="D113" s="422"/>
      <c r="E113" s="31"/>
      <c r="F113" s="31"/>
      <c r="G113" s="74"/>
      <c r="H113" s="74"/>
      <c r="I113" s="74"/>
      <c r="J113" s="74"/>
      <c r="K113" s="94">
        <f t="shared" si="14"/>
        <v>0</v>
      </c>
      <c r="L113" s="33">
        <f>0+K113</f>
        <v>0</v>
      </c>
      <c r="M113" s="34">
        <f t="shared" si="13"/>
        <v>0</v>
      </c>
      <c r="N113" s="35">
        <f t="shared" si="13"/>
        <v>0</v>
      </c>
      <c r="O113" s="64">
        <v>0</v>
      </c>
      <c r="P113" s="65">
        <v>0</v>
      </c>
    </row>
    <row r="114" spans="1:16" ht="44.25" customHeight="1" thickBot="1">
      <c r="A114" s="60" t="s">
        <v>169</v>
      </c>
      <c r="B114" s="420" t="s">
        <v>170</v>
      </c>
      <c r="C114" s="421"/>
      <c r="D114" s="422"/>
      <c r="E114" s="31">
        <v>1000</v>
      </c>
      <c r="F114" s="31">
        <f>0+E114</f>
        <v>1000</v>
      </c>
      <c r="G114" s="74"/>
      <c r="H114" s="74"/>
      <c r="I114" s="74"/>
      <c r="J114" s="74"/>
      <c r="K114" s="94">
        <f t="shared" si="14"/>
        <v>0</v>
      </c>
      <c r="L114" s="33">
        <f>0+K114</f>
        <v>0</v>
      </c>
      <c r="M114" s="34">
        <f t="shared" si="13"/>
        <v>1000</v>
      </c>
      <c r="N114" s="35">
        <f t="shared" si="13"/>
        <v>1000</v>
      </c>
      <c r="O114" s="64">
        <v>0</v>
      </c>
      <c r="P114" s="65">
        <v>0</v>
      </c>
    </row>
    <row r="115" spans="1:16" ht="36" customHeight="1" thickBot="1">
      <c r="A115" s="60" t="s">
        <v>171</v>
      </c>
      <c r="B115" s="420" t="s">
        <v>172</v>
      </c>
      <c r="C115" s="421"/>
      <c r="D115" s="422"/>
      <c r="E115" s="31">
        <v>4000</v>
      </c>
      <c r="F115" s="31">
        <f>0+E115</f>
        <v>4000</v>
      </c>
      <c r="G115" s="74"/>
      <c r="H115" s="74"/>
      <c r="I115" s="74"/>
      <c r="J115" s="74"/>
      <c r="K115" s="94">
        <f t="shared" si="14"/>
        <v>0</v>
      </c>
      <c r="L115" s="33">
        <f>0+K115</f>
        <v>0</v>
      </c>
      <c r="M115" s="34">
        <f t="shared" si="13"/>
        <v>4000</v>
      </c>
      <c r="N115" s="35">
        <f t="shared" si="13"/>
        <v>4000</v>
      </c>
      <c r="O115" s="64">
        <v>0</v>
      </c>
      <c r="P115" s="65">
        <v>0</v>
      </c>
    </row>
    <row r="116" spans="1:16" ht="37.5" customHeight="1" thickBot="1">
      <c r="A116" s="60" t="s">
        <v>173</v>
      </c>
      <c r="B116" s="420" t="s">
        <v>174</v>
      </c>
      <c r="C116" s="421"/>
      <c r="D116" s="422"/>
      <c r="E116" s="31"/>
      <c r="F116" s="31"/>
      <c r="G116" s="74"/>
      <c r="H116" s="74"/>
      <c r="I116" s="74"/>
      <c r="J116" s="74"/>
      <c r="K116" s="94">
        <f t="shared" si="14"/>
        <v>0</v>
      </c>
      <c r="L116" s="33">
        <f>0+K116</f>
        <v>0</v>
      </c>
      <c r="M116" s="34">
        <f t="shared" si="13"/>
        <v>0</v>
      </c>
      <c r="N116" s="35">
        <f t="shared" si="13"/>
        <v>0</v>
      </c>
      <c r="O116" s="64">
        <v>0</v>
      </c>
      <c r="P116" s="65">
        <v>0</v>
      </c>
    </row>
    <row r="117" spans="1:16" ht="44.25" customHeight="1" thickBot="1">
      <c r="A117" s="60"/>
      <c r="B117" s="420" t="s">
        <v>175</v>
      </c>
      <c r="C117" s="421"/>
      <c r="D117" s="422"/>
      <c r="E117" s="31"/>
      <c r="F117" s="31"/>
      <c r="G117" s="74"/>
      <c r="H117" s="74"/>
      <c r="I117" s="74"/>
      <c r="J117" s="74"/>
      <c r="K117" s="94">
        <f>I117</f>
        <v>0</v>
      </c>
      <c r="L117" s="33">
        <f>0+K117</f>
        <v>0</v>
      </c>
      <c r="M117" s="34">
        <f t="shared" si="13"/>
        <v>0</v>
      </c>
      <c r="N117" s="35">
        <f t="shared" si="13"/>
        <v>0</v>
      </c>
      <c r="O117" s="64">
        <v>0</v>
      </c>
      <c r="P117" s="65">
        <v>0</v>
      </c>
    </row>
    <row r="118" spans="1:16" ht="35.25" customHeight="1" thickBot="1">
      <c r="A118" s="60" t="s">
        <v>176</v>
      </c>
      <c r="B118" s="420" t="s">
        <v>177</v>
      </c>
      <c r="C118" s="421"/>
      <c r="D118" s="422"/>
      <c r="E118" s="31"/>
      <c r="F118" s="31"/>
      <c r="G118" s="74"/>
      <c r="H118" s="74"/>
      <c r="I118" s="74"/>
      <c r="J118" s="74"/>
      <c r="K118" s="94">
        <f>G118</f>
        <v>0</v>
      </c>
      <c r="L118" s="33">
        <f>0+K118</f>
        <v>0</v>
      </c>
      <c r="M118" s="34">
        <f t="shared" si="13"/>
        <v>0</v>
      </c>
      <c r="N118" s="35">
        <f t="shared" si="13"/>
        <v>0</v>
      </c>
      <c r="O118" s="64">
        <v>0</v>
      </c>
      <c r="P118" s="65">
        <v>0</v>
      </c>
    </row>
    <row r="119" spans="1:18" ht="33" customHeight="1" thickBot="1">
      <c r="A119" s="60" t="s">
        <v>178</v>
      </c>
      <c r="B119" s="463" t="s">
        <v>179</v>
      </c>
      <c r="C119" s="464"/>
      <c r="D119" s="465"/>
      <c r="E119" s="31"/>
      <c r="F119" s="31"/>
      <c r="G119" s="74"/>
      <c r="H119" s="74"/>
      <c r="I119" s="74"/>
      <c r="J119" s="74"/>
      <c r="K119" s="94">
        <f>G119</f>
        <v>0</v>
      </c>
      <c r="L119" s="33">
        <f>0+K119</f>
        <v>0</v>
      </c>
      <c r="M119" s="34">
        <f t="shared" si="13"/>
        <v>0</v>
      </c>
      <c r="N119" s="35">
        <f t="shared" si="13"/>
        <v>0</v>
      </c>
      <c r="O119" s="64">
        <v>0</v>
      </c>
      <c r="P119" s="65">
        <v>0</v>
      </c>
      <c r="R119" s="96"/>
    </row>
    <row r="120" spans="1:16" ht="26.25" customHeight="1" thickBot="1">
      <c r="A120" s="97" t="s">
        <v>180</v>
      </c>
      <c r="B120" s="420" t="s">
        <v>181</v>
      </c>
      <c r="C120" s="421"/>
      <c r="D120" s="422"/>
      <c r="E120" s="31">
        <v>700</v>
      </c>
      <c r="F120" s="31">
        <f>0+E120</f>
        <v>700</v>
      </c>
      <c r="G120" s="74">
        <v>800</v>
      </c>
      <c r="H120" s="74"/>
      <c r="I120" s="74"/>
      <c r="J120" s="74"/>
      <c r="K120" s="94">
        <f t="shared" si="14"/>
        <v>800</v>
      </c>
      <c r="L120" s="33">
        <f>0+K120</f>
        <v>800</v>
      </c>
      <c r="M120" s="34">
        <f t="shared" si="13"/>
        <v>-100</v>
      </c>
      <c r="N120" s="35">
        <f t="shared" si="13"/>
        <v>-100</v>
      </c>
      <c r="O120" s="64">
        <v>0</v>
      </c>
      <c r="P120" s="65">
        <v>0</v>
      </c>
    </row>
    <row r="121" spans="1:16" ht="15">
      <c r="A121" s="98"/>
      <c r="B121" s="396" t="s">
        <v>43</v>
      </c>
      <c r="C121" s="396"/>
      <c r="D121" s="396"/>
      <c r="E121" s="396"/>
      <c r="F121" s="396"/>
      <c r="G121" s="396"/>
      <c r="H121" s="396"/>
      <c r="I121" s="396"/>
      <c r="J121" s="396"/>
      <c r="K121" s="396"/>
      <c r="L121" s="396"/>
      <c r="M121" s="396"/>
      <c r="N121" s="396"/>
      <c r="O121" s="396"/>
      <c r="P121" s="397"/>
    </row>
    <row r="122" spans="1:16" ht="8.25" customHeight="1" thickBot="1">
      <c r="A122" s="99"/>
      <c r="B122" s="399"/>
      <c r="C122" s="399"/>
      <c r="D122" s="399"/>
      <c r="E122" s="399"/>
      <c r="F122" s="399"/>
      <c r="G122" s="399"/>
      <c r="H122" s="399"/>
      <c r="I122" s="399"/>
      <c r="J122" s="399"/>
      <c r="K122" s="399"/>
      <c r="L122" s="399"/>
      <c r="M122" s="399"/>
      <c r="N122" s="399"/>
      <c r="O122" s="399"/>
      <c r="P122" s="400"/>
    </row>
    <row r="123" spans="1:16" ht="15.75" thickBot="1">
      <c r="A123" s="100"/>
      <c r="B123" s="471" t="s">
        <v>14</v>
      </c>
      <c r="C123" s="472"/>
      <c r="D123" s="473"/>
      <c r="E123" s="477" t="s">
        <v>24</v>
      </c>
      <c r="F123" s="479" t="s">
        <v>25</v>
      </c>
      <c r="G123" s="481" t="s">
        <v>44</v>
      </c>
      <c r="H123" s="482"/>
      <c r="I123" s="482"/>
      <c r="J123" s="482"/>
      <c r="K123" s="483"/>
      <c r="L123" s="469" t="s">
        <v>16</v>
      </c>
      <c r="M123" s="469" t="s">
        <v>17</v>
      </c>
      <c r="N123" s="469" t="s">
        <v>18</v>
      </c>
      <c r="O123" s="469" t="s">
        <v>19</v>
      </c>
      <c r="P123" s="469" t="s">
        <v>20</v>
      </c>
    </row>
    <row r="124" spans="1:16" ht="77.25" customHeight="1" thickBot="1">
      <c r="A124" s="101"/>
      <c r="B124" s="474"/>
      <c r="C124" s="475"/>
      <c r="D124" s="476"/>
      <c r="E124" s="478"/>
      <c r="F124" s="480"/>
      <c r="G124" s="102" t="s">
        <v>45</v>
      </c>
      <c r="H124" s="102" t="s">
        <v>46</v>
      </c>
      <c r="I124" s="102" t="s">
        <v>47</v>
      </c>
      <c r="J124" s="103" t="s">
        <v>48</v>
      </c>
      <c r="K124" s="104" t="s">
        <v>27</v>
      </c>
      <c r="L124" s="470"/>
      <c r="M124" s="470"/>
      <c r="N124" s="470"/>
      <c r="O124" s="470"/>
      <c r="P124" s="470"/>
    </row>
    <row r="125" spans="1:16" ht="15.75" thickBot="1">
      <c r="A125" s="105"/>
      <c r="B125" s="342">
        <v>1</v>
      </c>
      <c r="C125" s="343"/>
      <c r="D125" s="344"/>
      <c r="E125" s="17" t="s">
        <v>22</v>
      </c>
      <c r="F125" s="47">
        <v>3</v>
      </c>
      <c r="G125" s="47">
        <v>4</v>
      </c>
      <c r="H125" s="47">
        <v>5</v>
      </c>
      <c r="I125" s="7">
        <v>6</v>
      </c>
      <c r="J125" s="7">
        <v>7</v>
      </c>
      <c r="K125" s="48">
        <v>8</v>
      </c>
      <c r="L125" s="20">
        <v>9</v>
      </c>
      <c r="M125" s="7">
        <v>10</v>
      </c>
      <c r="N125" s="20">
        <v>11</v>
      </c>
      <c r="O125" s="7">
        <v>12</v>
      </c>
      <c r="P125" s="20">
        <v>13</v>
      </c>
    </row>
    <row r="126" spans="1:16" ht="27.75" thickBot="1">
      <c r="A126" s="106" t="s">
        <v>182</v>
      </c>
      <c r="B126" s="446" t="s">
        <v>183</v>
      </c>
      <c r="C126" s="447"/>
      <c r="D126" s="448"/>
      <c r="E126" s="31"/>
      <c r="F126" s="31"/>
      <c r="G126" s="74"/>
      <c r="H126" s="74"/>
      <c r="I126" s="74"/>
      <c r="J126" s="74"/>
      <c r="K126" s="94">
        <f aca="true" t="shared" si="15" ref="K126:K140">G126</f>
        <v>0</v>
      </c>
      <c r="L126" s="33">
        <f>0+K126</f>
        <v>0</v>
      </c>
      <c r="M126" s="34">
        <f aca="true" t="shared" si="16" ref="M126:N141">E126-K126</f>
        <v>0</v>
      </c>
      <c r="N126" s="35">
        <f t="shared" si="16"/>
        <v>0</v>
      </c>
      <c r="O126" s="64">
        <v>0</v>
      </c>
      <c r="P126" s="65">
        <v>0</v>
      </c>
    </row>
    <row r="127" spans="1:16" ht="27.75" thickBot="1">
      <c r="A127" s="107" t="s">
        <v>184</v>
      </c>
      <c r="B127" s="414" t="s">
        <v>185</v>
      </c>
      <c r="C127" s="415"/>
      <c r="D127" s="416"/>
      <c r="E127" s="31"/>
      <c r="F127" s="31"/>
      <c r="G127" s="74"/>
      <c r="H127" s="74"/>
      <c r="I127" s="74"/>
      <c r="J127" s="74"/>
      <c r="K127" s="94">
        <f t="shared" si="15"/>
        <v>0</v>
      </c>
      <c r="L127" s="33">
        <f>0+K127</f>
        <v>0</v>
      </c>
      <c r="M127" s="34">
        <f t="shared" si="16"/>
        <v>0</v>
      </c>
      <c r="N127" s="35">
        <f t="shared" si="16"/>
        <v>0</v>
      </c>
      <c r="O127" s="64">
        <v>0</v>
      </c>
      <c r="P127" s="65">
        <v>0</v>
      </c>
    </row>
    <row r="128" spans="1:16" ht="30.75" thickBot="1">
      <c r="A128" s="108" t="s">
        <v>186</v>
      </c>
      <c r="B128" s="420" t="s">
        <v>187</v>
      </c>
      <c r="C128" s="421"/>
      <c r="D128" s="422"/>
      <c r="E128" s="31"/>
      <c r="F128" s="31">
        <f>0+E128</f>
        <v>0</v>
      </c>
      <c r="G128" s="74"/>
      <c r="H128" s="74"/>
      <c r="I128" s="74"/>
      <c r="J128" s="74"/>
      <c r="K128" s="94">
        <f>I128+G128</f>
        <v>0</v>
      </c>
      <c r="L128" s="33">
        <f>0+K128</f>
        <v>0</v>
      </c>
      <c r="M128" s="34">
        <f t="shared" si="16"/>
        <v>0</v>
      </c>
      <c r="N128" s="35">
        <f t="shared" si="16"/>
        <v>0</v>
      </c>
      <c r="O128" s="64">
        <v>0</v>
      </c>
      <c r="P128" s="65">
        <v>0</v>
      </c>
    </row>
    <row r="129" spans="1:16" ht="44.25" customHeight="1" thickBot="1">
      <c r="A129" s="108" t="s">
        <v>188</v>
      </c>
      <c r="B129" s="426" t="s">
        <v>189</v>
      </c>
      <c r="C129" s="427"/>
      <c r="D129" s="428"/>
      <c r="E129" s="31"/>
      <c r="F129" s="31">
        <f>0+E129</f>
        <v>0</v>
      </c>
      <c r="G129" s="74"/>
      <c r="H129" s="74"/>
      <c r="I129" s="74"/>
      <c r="J129" s="74"/>
      <c r="K129" s="94">
        <f>H129</f>
        <v>0</v>
      </c>
      <c r="L129" s="33">
        <f>0+K129</f>
        <v>0</v>
      </c>
      <c r="M129" s="34">
        <f t="shared" si="16"/>
        <v>0</v>
      </c>
      <c r="N129" s="35">
        <f t="shared" si="16"/>
        <v>0</v>
      </c>
      <c r="O129" s="64">
        <v>0</v>
      </c>
      <c r="P129" s="65">
        <v>0</v>
      </c>
    </row>
    <row r="130" spans="1:16" ht="35.25" customHeight="1" thickBot="1">
      <c r="A130" s="109" t="s">
        <v>190</v>
      </c>
      <c r="B130" s="420" t="s">
        <v>191</v>
      </c>
      <c r="C130" s="421"/>
      <c r="D130" s="422"/>
      <c r="E130" s="31"/>
      <c r="F130" s="31"/>
      <c r="G130" s="74"/>
      <c r="H130" s="74"/>
      <c r="I130" s="74"/>
      <c r="J130" s="74"/>
      <c r="K130" s="94">
        <f>G130</f>
        <v>0</v>
      </c>
      <c r="L130" s="33">
        <f>0+K130</f>
        <v>0</v>
      </c>
      <c r="M130" s="34">
        <f t="shared" si="16"/>
        <v>0</v>
      </c>
      <c r="N130" s="35">
        <f t="shared" si="16"/>
        <v>0</v>
      </c>
      <c r="O130" s="64">
        <v>0</v>
      </c>
      <c r="P130" s="65">
        <v>0</v>
      </c>
    </row>
    <row r="131" spans="1:16" ht="41.25" customHeight="1" thickBot="1">
      <c r="A131" s="109" t="s">
        <v>192</v>
      </c>
      <c r="B131" s="460" t="s">
        <v>193</v>
      </c>
      <c r="C131" s="461"/>
      <c r="D131" s="462"/>
      <c r="E131" s="31">
        <v>6000</v>
      </c>
      <c r="F131" s="31">
        <f>0+E131</f>
        <v>6000</v>
      </c>
      <c r="G131" s="74"/>
      <c r="H131" s="74"/>
      <c r="I131" s="74"/>
      <c r="J131" s="74"/>
      <c r="K131" s="94">
        <f>G131+I131</f>
        <v>0</v>
      </c>
      <c r="L131" s="33">
        <f>0+K131</f>
        <v>0</v>
      </c>
      <c r="M131" s="34">
        <f t="shared" si="16"/>
        <v>6000</v>
      </c>
      <c r="N131" s="35">
        <f t="shared" si="16"/>
        <v>6000</v>
      </c>
      <c r="O131" s="64">
        <v>0</v>
      </c>
      <c r="P131" s="65">
        <v>0</v>
      </c>
    </row>
    <row r="132" spans="1:19" ht="36.75" customHeight="1" thickBot="1">
      <c r="A132" s="110">
        <v>15</v>
      </c>
      <c r="B132" s="418" t="s">
        <v>194</v>
      </c>
      <c r="C132" s="418"/>
      <c r="D132" s="419"/>
      <c r="E132" s="73">
        <f>E133+E134</f>
        <v>15000</v>
      </c>
      <c r="F132" s="73">
        <f>F133</f>
        <v>15000</v>
      </c>
      <c r="G132" s="75">
        <f>G133+G134</f>
        <v>9999.82</v>
      </c>
      <c r="H132" s="74"/>
      <c r="I132" s="74"/>
      <c r="J132" s="74"/>
      <c r="K132" s="93">
        <f t="shared" si="15"/>
        <v>9999.82</v>
      </c>
      <c r="L132" s="55">
        <f>L133+L134</f>
        <v>9999.82</v>
      </c>
      <c r="M132" s="56">
        <f t="shared" si="16"/>
        <v>5000.18</v>
      </c>
      <c r="N132" s="70">
        <f t="shared" si="16"/>
        <v>5000.18</v>
      </c>
      <c r="O132" s="58">
        <v>0</v>
      </c>
      <c r="P132" s="59">
        <v>0</v>
      </c>
      <c r="Q132" s="1"/>
      <c r="R132" s="1"/>
      <c r="S132" s="1"/>
    </row>
    <row r="133" spans="1:19" ht="29.25" customHeight="1" thickBot="1">
      <c r="A133" s="60" t="s">
        <v>195</v>
      </c>
      <c r="B133" s="405" t="s">
        <v>53</v>
      </c>
      <c r="C133" s="406"/>
      <c r="D133" s="407"/>
      <c r="E133" s="61">
        <v>15000</v>
      </c>
      <c r="F133" s="31">
        <f>0+E133</f>
        <v>15000</v>
      </c>
      <c r="G133" s="74">
        <v>9999.82</v>
      </c>
      <c r="H133" s="74"/>
      <c r="I133" s="74"/>
      <c r="J133" s="74"/>
      <c r="K133" s="94">
        <f t="shared" si="15"/>
        <v>9999.82</v>
      </c>
      <c r="L133" s="33">
        <f>0+K133</f>
        <v>9999.82</v>
      </c>
      <c r="M133" s="34">
        <f t="shared" si="16"/>
        <v>5000.18</v>
      </c>
      <c r="N133" s="35">
        <f t="shared" si="16"/>
        <v>5000.18</v>
      </c>
      <c r="O133" s="64">
        <v>0</v>
      </c>
      <c r="P133" s="65">
        <v>0</v>
      </c>
      <c r="Q133" s="1"/>
      <c r="R133" s="1"/>
      <c r="S133" s="1"/>
    </row>
    <row r="134" spans="1:19" ht="32.25" customHeight="1" thickBot="1">
      <c r="A134" s="60" t="s">
        <v>196</v>
      </c>
      <c r="B134" s="405" t="s">
        <v>104</v>
      </c>
      <c r="C134" s="406"/>
      <c r="D134" s="407"/>
      <c r="E134" s="61"/>
      <c r="F134" s="31"/>
      <c r="G134" s="74"/>
      <c r="H134" s="74"/>
      <c r="I134" s="74"/>
      <c r="J134" s="74"/>
      <c r="K134" s="94">
        <f t="shared" si="15"/>
        <v>0</v>
      </c>
      <c r="L134" s="33">
        <f>0+K134</f>
        <v>0</v>
      </c>
      <c r="M134" s="34">
        <f t="shared" si="16"/>
        <v>0</v>
      </c>
      <c r="N134" s="35">
        <f t="shared" si="16"/>
        <v>0</v>
      </c>
      <c r="O134" s="64">
        <v>0</v>
      </c>
      <c r="P134" s="65">
        <v>0</v>
      </c>
      <c r="Q134" s="1"/>
      <c r="R134" s="1"/>
      <c r="S134" s="1"/>
    </row>
    <row r="135" spans="1:19" ht="31.5" customHeight="1" thickBot="1">
      <c r="A135" s="111">
        <v>16</v>
      </c>
      <c r="B135" s="418" t="s">
        <v>197</v>
      </c>
      <c r="C135" s="418"/>
      <c r="D135" s="419"/>
      <c r="E135" s="31">
        <v>0</v>
      </c>
      <c r="F135" s="73">
        <f>F136</f>
        <v>0</v>
      </c>
      <c r="G135" s="75">
        <f>G136+G137</f>
        <v>0</v>
      </c>
      <c r="H135" s="74"/>
      <c r="I135" s="74"/>
      <c r="J135" s="74"/>
      <c r="K135" s="93">
        <f t="shared" si="15"/>
        <v>0</v>
      </c>
      <c r="L135" s="55">
        <f>0+K135</f>
        <v>0</v>
      </c>
      <c r="M135" s="56">
        <f t="shared" si="16"/>
        <v>0</v>
      </c>
      <c r="N135" s="70">
        <f t="shared" si="16"/>
        <v>0</v>
      </c>
      <c r="O135" s="58">
        <v>0</v>
      </c>
      <c r="P135" s="59">
        <v>0</v>
      </c>
      <c r="Q135" s="1"/>
      <c r="R135" s="1"/>
      <c r="S135" s="1"/>
    </row>
    <row r="136" spans="1:19" ht="34.5" customHeight="1" thickBot="1">
      <c r="A136" s="60" t="s">
        <v>198</v>
      </c>
      <c r="B136" s="405" t="s">
        <v>53</v>
      </c>
      <c r="C136" s="406"/>
      <c r="D136" s="407"/>
      <c r="E136" s="61"/>
      <c r="F136" s="31">
        <v>0</v>
      </c>
      <c r="G136" s="74"/>
      <c r="H136" s="74"/>
      <c r="I136" s="74"/>
      <c r="J136" s="74"/>
      <c r="K136" s="94">
        <f t="shared" si="15"/>
        <v>0</v>
      </c>
      <c r="L136" s="33">
        <f>0+K136</f>
        <v>0</v>
      </c>
      <c r="M136" s="34">
        <f t="shared" si="16"/>
        <v>0</v>
      </c>
      <c r="N136" s="35">
        <f t="shared" si="16"/>
        <v>0</v>
      </c>
      <c r="O136" s="64">
        <v>0</v>
      </c>
      <c r="P136" s="65">
        <v>0</v>
      </c>
      <c r="Q136" s="1"/>
      <c r="R136" s="1"/>
      <c r="S136" s="1"/>
    </row>
    <row r="137" spans="1:19" ht="41.25" customHeight="1" thickBot="1">
      <c r="A137" s="60" t="s">
        <v>199</v>
      </c>
      <c r="B137" s="405" t="s">
        <v>104</v>
      </c>
      <c r="C137" s="406"/>
      <c r="D137" s="407"/>
      <c r="E137" s="61"/>
      <c r="F137" s="31"/>
      <c r="G137" s="74"/>
      <c r="H137" s="74"/>
      <c r="I137" s="74"/>
      <c r="J137" s="74"/>
      <c r="K137" s="94">
        <f t="shared" si="15"/>
        <v>0</v>
      </c>
      <c r="L137" s="33">
        <f>0+K137</f>
        <v>0</v>
      </c>
      <c r="M137" s="34">
        <f t="shared" si="16"/>
        <v>0</v>
      </c>
      <c r="N137" s="35">
        <f t="shared" si="16"/>
        <v>0</v>
      </c>
      <c r="O137" s="64">
        <v>0</v>
      </c>
      <c r="P137" s="65">
        <v>0</v>
      </c>
      <c r="Q137" s="1"/>
      <c r="R137" s="1"/>
      <c r="S137" s="1"/>
    </row>
    <row r="138" spans="1:19" ht="47.25" customHeight="1" thickBot="1">
      <c r="A138" s="110">
        <v>17</v>
      </c>
      <c r="B138" s="418" t="s">
        <v>200</v>
      </c>
      <c r="C138" s="418"/>
      <c r="D138" s="419"/>
      <c r="E138" s="73">
        <v>0</v>
      </c>
      <c r="F138" s="73"/>
      <c r="G138" s="75">
        <f>G139+G140</f>
        <v>5504</v>
      </c>
      <c r="H138" s="75"/>
      <c r="I138" s="75"/>
      <c r="J138" s="75"/>
      <c r="K138" s="93">
        <f t="shared" si="15"/>
        <v>5504</v>
      </c>
      <c r="L138" s="55">
        <f>L139</f>
        <v>5504</v>
      </c>
      <c r="M138" s="56">
        <f t="shared" si="16"/>
        <v>-5504</v>
      </c>
      <c r="N138" s="70">
        <f t="shared" si="16"/>
        <v>-5504</v>
      </c>
      <c r="O138" s="58">
        <v>0</v>
      </c>
      <c r="P138" s="59">
        <v>0</v>
      </c>
      <c r="Q138" s="1"/>
      <c r="R138" s="1"/>
      <c r="S138" s="1"/>
    </row>
    <row r="139" spans="1:19" ht="27" customHeight="1" thickBot="1">
      <c r="A139" s="60" t="s">
        <v>201</v>
      </c>
      <c r="B139" s="405" t="s">
        <v>53</v>
      </c>
      <c r="C139" s="406"/>
      <c r="D139" s="407"/>
      <c r="E139" s="61"/>
      <c r="F139" s="31"/>
      <c r="G139" s="74">
        <v>5504</v>
      </c>
      <c r="H139" s="74"/>
      <c r="I139" s="74"/>
      <c r="J139" s="74"/>
      <c r="K139" s="94">
        <f t="shared" si="15"/>
        <v>5504</v>
      </c>
      <c r="L139" s="33">
        <f>0+K139</f>
        <v>5504</v>
      </c>
      <c r="M139" s="34">
        <f t="shared" si="16"/>
        <v>-5504</v>
      </c>
      <c r="N139" s="35">
        <f t="shared" si="16"/>
        <v>-5504</v>
      </c>
      <c r="O139" s="64">
        <v>0</v>
      </c>
      <c r="P139" s="65">
        <v>0</v>
      </c>
      <c r="Q139" s="1"/>
      <c r="R139" s="1"/>
      <c r="S139" s="1"/>
    </row>
    <row r="140" spans="1:19" ht="29.25" customHeight="1" thickBot="1">
      <c r="A140" s="60" t="s">
        <v>202</v>
      </c>
      <c r="B140" s="405" t="s">
        <v>104</v>
      </c>
      <c r="C140" s="406"/>
      <c r="D140" s="407"/>
      <c r="E140" s="61"/>
      <c r="F140" s="31"/>
      <c r="G140" s="74"/>
      <c r="H140" s="74"/>
      <c r="I140" s="74"/>
      <c r="J140" s="74"/>
      <c r="K140" s="94">
        <f t="shared" si="15"/>
        <v>0</v>
      </c>
      <c r="L140" s="33">
        <f>0+K140</f>
        <v>0</v>
      </c>
      <c r="M140" s="34">
        <f t="shared" si="16"/>
        <v>0</v>
      </c>
      <c r="N140" s="35">
        <f t="shared" si="16"/>
        <v>0</v>
      </c>
      <c r="O140" s="64">
        <v>0</v>
      </c>
      <c r="P140" s="65">
        <v>0</v>
      </c>
      <c r="Q140" s="1"/>
      <c r="R140" s="1"/>
      <c r="S140" s="1"/>
    </row>
    <row r="141" spans="1:19" ht="22.5" customHeight="1" thickBot="1">
      <c r="A141" s="110">
        <v>18</v>
      </c>
      <c r="B141" s="424" t="s">
        <v>42</v>
      </c>
      <c r="C141" s="424"/>
      <c r="D141" s="425"/>
      <c r="E141" s="31">
        <v>0</v>
      </c>
      <c r="F141" s="31"/>
      <c r="G141" s="74"/>
      <c r="H141" s="74"/>
      <c r="I141" s="74"/>
      <c r="J141" s="75"/>
      <c r="K141" s="93">
        <f>J141</f>
        <v>0</v>
      </c>
      <c r="L141" s="55">
        <f>0+K141</f>
        <v>0</v>
      </c>
      <c r="M141" s="56">
        <f t="shared" si="16"/>
        <v>0</v>
      </c>
      <c r="N141" s="70">
        <f t="shared" si="16"/>
        <v>0</v>
      </c>
      <c r="O141" s="58">
        <v>0</v>
      </c>
      <c r="P141" s="59">
        <v>0</v>
      </c>
      <c r="Q141" s="1"/>
      <c r="R141" s="1"/>
      <c r="S141" s="1"/>
    </row>
    <row r="142" spans="1:19" ht="59.25" customHeight="1" thickBot="1">
      <c r="A142" s="112"/>
      <c r="B142" s="488" t="s">
        <v>203</v>
      </c>
      <c r="C142" s="488"/>
      <c r="D142" s="488"/>
      <c r="E142" s="488"/>
      <c r="F142" s="113"/>
      <c r="G142" s="113" t="s">
        <v>4</v>
      </c>
      <c r="H142" s="114" t="s">
        <v>5</v>
      </c>
      <c r="I142" s="338" t="s">
        <v>6</v>
      </c>
      <c r="J142" s="339"/>
      <c r="K142" s="8" t="s">
        <v>11</v>
      </c>
      <c r="L142" s="7" t="s">
        <v>8</v>
      </c>
      <c r="M142" s="7" t="s">
        <v>9</v>
      </c>
      <c r="N142" s="115" t="s">
        <v>10</v>
      </c>
      <c r="O142" s="116"/>
      <c r="P142" s="117"/>
      <c r="Q142" s="1"/>
      <c r="R142" s="1"/>
      <c r="S142" s="1"/>
    </row>
    <row r="143" spans="1:19" ht="23.25" customHeight="1" thickBot="1">
      <c r="A143" s="118"/>
      <c r="B143" s="488" t="s">
        <v>12</v>
      </c>
      <c r="C143" s="488"/>
      <c r="D143" s="488"/>
      <c r="E143" s="489"/>
      <c r="F143" s="119"/>
      <c r="G143" s="119">
        <v>0</v>
      </c>
      <c r="H143" s="4">
        <v>0</v>
      </c>
      <c r="I143" s="330">
        <v>0</v>
      </c>
      <c r="J143" s="331"/>
      <c r="K143" s="120"/>
      <c r="L143" s="4">
        <v>0</v>
      </c>
      <c r="M143" s="14">
        <v>0</v>
      </c>
      <c r="N143" s="14">
        <v>0</v>
      </c>
      <c r="O143" s="4"/>
      <c r="P143" s="4">
        <v>0</v>
      </c>
      <c r="Q143" s="1"/>
      <c r="R143" s="1"/>
      <c r="S143" s="1"/>
    </row>
    <row r="144" spans="1:19" ht="27" customHeight="1" thickBot="1">
      <c r="A144" s="112"/>
      <c r="B144" s="488" t="s">
        <v>13</v>
      </c>
      <c r="C144" s="488"/>
      <c r="D144" s="488"/>
      <c r="E144" s="489"/>
      <c r="F144" s="4"/>
      <c r="G144" s="4">
        <f>F10+G17-G32-G36-G40-G45-G55-G65-G68-G72-G75-G79-G89-G102-G133-G136-G139-G81</f>
        <v>-24294.179999999953</v>
      </c>
      <c r="H144" s="4">
        <f>G18+H10-H29</f>
        <v>414593.4</v>
      </c>
      <c r="I144" s="330">
        <f>I10+G19-I104-I66-I97-I76</f>
        <v>0</v>
      </c>
      <c r="J144" s="331"/>
      <c r="K144" s="120">
        <f>O10+G22-J54</f>
        <v>32057.09</v>
      </c>
      <c r="L144" s="4">
        <f>L10+G23-J141</f>
        <v>314325</v>
      </c>
      <c r="M144" s="14">
        <v>0</v>
      </c>
      <c r="N144" s="4">
        <v>0</v>
      </c>
      <c r="O144" s="121"/>
      <c r="P144" s="4">
        <f>SUM(G144:O144)</f>
        <v>736681.31</v>
      </c>
      <c r="Q144" s="1"/>
      <c r="R144" s="80"/>
      <c r="S144" s="37"/>
    </row>
    <row r="145" spans="1:19" ht="24.75" customHeight="1" thickBot="1">
      <c r="A145" s="122"/>
      <c r="B145" s="323" t="s">
        <v>211</v>
      </c>
      <c r="C145" s="323"/>
      <c r="D145" s="323"/>
      <c r="E145" s="324"/>
      <c r="F145" s="325"/>
      <c r="G145" s="325"/>
      <c r="H145" s="325"/>
      <c r="I145" s="325"/>
      <c r="J145" s="325"/>
      <c r="K145" s="325"/>
      <c r="L145" s="325"/>
      <c r="M145" s="325"/>
      <c r="N145" s="484"/>
      <c r="O145" s="485"/>
      <c r="P145" s="123">
        <f>P144</f>
        <v>736681.31</v>
      </c>
      <c r="Q145" s="1"/>
      <c r="R145" s="37"/>
      <c r="S145" s="37"/>
    </row>
    <row r="146" spans="1:19" ht="15">
      <c r="A146" s="1"/>
      <c r="B146" s="124"/>
      <c r="C146" s="124"/>
      <c r="D146" s="124"/>
      <c r="E146" s="124"/>
      <c r="F146" s="125"/>
      <c r="G146" s="125"/>
      <c r="H146" s="125"/>
      <c r="I146" s="125"/>
      <c r="J146" s="125"/>
      <c r="K146" s="126"/>
      <c r="L146" s="125"/>
      <c r="M146" s="125"/>
      <c r="N146" s="125"/>
      <c r="O146" s="127"/>
      <c r="P146" s="128"/>
      <c r="Q146" s="1"/>
      <c r="R146" s="37"/>
      <c r="S146" s="1"/>
    </row>
    <row r="147" spans="1:19" ht="15">
      <c r="A147" s="1"/>
      <c r="B147" s="486" t="s">
        <v>204</v>
      </c>
      <c r="C147" s="486"/>
      <c r="D147" s="486"/>
      <c r="E147" s="486"/>
      <c r="F147" s="486"/>
      <c r="G147" s="486"/>
      <c r="H147" s="486"/>
      <c r="I147" s="486"/>
      <c r="J147" s="486"/>
      <c r="K147" s="486"/>
      <c r="L147" s="486"/>
      <c r="M147" s="486"/>
      <c r="N147" s="486"/>
      <c r="O147" s="487" t="s">
        <v>205</v>
      </c>
      <c r="P147" s="487"/>
      <c r="Q147" s="1"/>
      <c r="R147" s="80"/>
      <c r="S147" s="37"/>
    </row>
    <row r="148" spans="1:19" ht="15">
      <c r="A148" s="1"/>
      <c r="B148" s="486" t="s">
        <v>206</v>
      </c>
      <c r="C148" s="486"/>
      <c r="D148" s="486"/>
      <c r="E148" s="486"/>
      <c r="F148" s="486"/>
      <c r="G148" s="486"/>
      <c r="H148" s="486"/>
      <c r="I148" s="486"/>
      <c r="J148" s="486"/>
      <c r="K148" s="486"/>
      <c r="L148" s="486"/>
      <c r="M148" s="486"/>
      <c r="N148" s="486"/>
      <c r="O148" s="486" t="s">
        <v>207</v>
      </c>
      <c r="P148" s="486"/>
      <c r="Q148" s="1"/>
      <c r="R148" s="1"/>
      <c r="S148" s="1"/>
    </row>
    <row r="149" spans="1:19" ht="15">
      <c r="A149" s="1"/>
      <c r="B149" s="129"/>
      <c r="C149" s="129"/>
      <c r="D149" s="129"/>
      <c r="E149" s="129"/>
      <c r="F149" s="129"/>
      <c r="G149" s="129"/>
      <c r="H149" s="129"/>
      <c r="I149" s="129"/>
      <c r="J149" s="130"/>
      <c r="K149" s="131"/>
      <c r="L149" s="130"/>
      <c r="M149" s="129"/>
      <c r="N149" s="129"/>
      <c r="O149" s="129"/>
      <c r="P149" s="130"/>
      <c r="Q149" s="1"/>
      <c r="R149" s="37"/>
      <c r="S149" s="1"/>
    </row>
    <row r="151" spans="1:19" ht="15">
      <c r="A151" s="1"/>
      <c r="B151" s="1"/>
      <c r="C151" s="1"/>
      <c r="D151" s="1"/>
      <c r="E151" s="1"/>
      <c r="F151" s="1"/>
      <c r="G151" s="1"/>
      <c r="H151" s="1"/>
      <c r="I151" s="132"/>
      <c r="J151" s="1"/>
      <c r="K151" s="1"/>
      <c r="L151" s="1"/>
      <c r="M151" s="1"/>
      <c r="N151" s="1"/>
      <c r="O151" s="1"/>
      <c r="P151" s="1"/>
      <c r="Q151" s="1"/>
      <c r="R151" s="37"/>
      <c r="S151" s="1"/>
    </row>
    <row r="152" spans="1:19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37"/>
      <c r="S152" s="1"/>
    </row>
    <row r="153" spans="1:19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7"/>
      <c r="O153" s="1"/>
      <c r="P153" s="1"/>
      <c r="Q153" s="1"/>
      <c r="R153" s="1"/>
      <c r="S153" s="1"/>
    </row>
    <row r="154" spans="12:16" ht="15">
      <c r="L154" s="1"/>
      <c r="M154" s="1"/>
      <c r="N154" s="37"/>
      <c r="O154" s="1"/>
      <c r="P154" s="37"/>
    </row>
    <row r="155" spans="12:16" ht="15">
      <c r="L155" s="1"/>
      <c r="M155" s="1"/>
      <c r="N155" s="133"/>
      <c r="O155" s="1"/>
      <c r="P155" s="37"/>
    </row>
    <row r="156" spans="12:16" ht="15">
      <c r="L156" s="37"/>
      <c r="M156" s="1"/>
      <c r="N156" s="1"/>
      <c r="O156" s="1"/>
      <c r="P156" s="1"/>
    </row>
    <row r="157" spans="12:16" ht="15">
      <c r="L157" s="37"/>
      <c r="M157" s="37"/>
      <c r="N157" s="1"/>
      <c r="O157" s="1"/>
      <c r="P157" s="1"/>
    </row>
  </sheetData>
  <sheetProtection/>
  <mergeCells count="200">
    <mergeCell ref="B145:E145"/>
    <mergeCell ref="F145:O145"/>
    <mergeCell ref="B147:E147"/>
    <mergeCell ref="F147:N147"/>
    <mergeCell ref="O147:P147"/>
    <mergeCell ref="B148:E148"/>
    <mergeCell ref="F148:N148"/>
    <mergeCell ref="O148:P148"/>
    <mergeCell ref="B142:E142"/>
    <mergeCell ref="I142:J142"/>
    <mergeCell ref="B143:E143"/>
    <mergeCell ref="I143:J143"/>
    <mergeCell ref="B144:E144"/>
    <mergeCell ref="I144:J144"/>
    <mergeCell ref="B136:D136"/>
    <mergeCell ref="B137:D137"/>
    <mergeCell ref="B138:D138"/>
    <mergeCell ref="B139:D139"/>
    <mergeCell ref="B140:D140"/>
    <mergeCell ref="B141:D141"/>
    <mergeCell ref="B130:D130"/>
    <mergeCell ref="B131:D131"/>
    <mergeCell ref="B132:D132"/>
    <mergeCell ref="B133:D133"/>
    <mergeCell ref="B134:D134"/>
    <mergeCell ref="B135:D135"/>
    <mergeCell ref="P123:P124"/>
    <mergeCell ref="B125:D125"/>
    <mergeCell ref="B126:D126"/>
    <mergeCell ref="B127:D127"/>
    <mergeCell ref="B128:D128"/>
    <mergeCell ref="B129:D129"/>
    <mergeCell ref="B120:D120"/>
    <mergeCell ref="B121:P122"/>
    <mergeCell ref="B123:D124"/>
    <mergeCell ref="E123:E124"/>
    <mergeCell ref="F123:F124"/>
    <mergeCell ref="G123:K123"/>
    <mergeCell ref="L123:L124"/>
    <mergeCell ref="M123:M124"/>
    <mergeCell ref="N123:N124"/>
    <mergeCell ref="O123:O124"/>
    <mergeCell ref="B114:D114"/>
    <mergeCell ref="B115:D115"/>
    <mergeCell ref="B116:D116"/>
    <mergeCell ref="B117:D117"/>
    <mergeCell ref="B118:D118"/>
    <mergeCell ref="B119:D119"/>
    <mergeCell ref="B108:D108"/>
    <mergeCell ref="B109:D109"/>
    <mergeCell ref="B110:D110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96:D96"/>
    <mergeCell ref="B97:D97"/>
    <mergeCell ref="B98:D98"/>
    <mergeCell ref="B99:D99"/>
    <mergeCell ref="B100:D100"/>
    <mergeCell ref="B101:D101"/>
    <mergeCell ref="B90:D90"/>
    <mergeCell ref="B91:D91"/>
    <mergeCell ref="B92:D92"/>
    <mergeCell ref="B93:D93"/>
    <mergeCell ref="B94:D94"/>
    <mergeCell ref="B95:D95"/>
    <mergeCell ref="N85:N86"/>
    <mergeCell ref="O85:O86"/>
    <mergeCell ref="P85:P86"/>
    <mergeCell ref="B87:D87"/>
    <mergeCell ref="B88:D88"/>
    <mergeCell ref="B89:D89"/>
    <mergeCell ref="B81:D81"/>
    <mergeCell ref="A83:A84"/>
    <mergeCell ref="B83:P84"/>
    <mergeCell ref="A85:A86"/>
    <mergeCell ref="B85:D86"/>
    <mergeCell ref="E85:E86"/>
    <mergeCell ref="F85:F86"/>
    <mergeCell ref="G85:K85"/>
    <mergeCell ref="L85:L86"/>
    <mergeCell ref="M85:M86"/>
    <mergeCell ref="B74:D74"/>
    <mergeCell ref="B75:D75"/>
    <mergeCell ref="B76:D76"/>
    <mergeCell ref="B78:D78"/>
    <mergeCell ref="B79:D79"/>
    <mergeCell ref="B80:D80"/>
    <mergeCell ref="B68:D68"/>
    <mergeCell ref="B69:D69"/>
    <mergeCell ref="B70:D70"/>
    <mergeCell ref="B71:D71"/>
    <mergeCell ref="B72:D72"/>
    <mergeCell ref="B73:D73"/>
    <mergeCell ref="B62:D62"/>
    <mergeCell ref="B63:D63"/>
    <mergeCell ref="B64:D64"/>
    <mergeCell ref="B65:D65"/>
    <mergeCell ref="B66:D66"/>
    <mergeCell ref="B67:D67"/>
    <mergeCell ref="B56:D56"/>
    <mergeCell ref="B57:D57"/>
    <mergeCell ref="B58:D58"/>
    <mergeCell ref="B59:D59"/>
    <mergeCell ref="B60:D60"/>
    <mergeCell ref="B61:D61"/>
    <mergeCell ref="B49:D49"/>
    <mergeCell ref="B50:D50"/>
    <mergeCell ref="B51:D51"/>
    <mergeCell ref="B52:D52"/>
    <mergeCell ref="B54:D54"/>
    <mergeCell ref="B55:D55"/>
    <mergeCell ref="B42:D42"/>
    <mergeCell ref="B43:D43"/>
    <mergeCell ref="B44:D44"/>
    <mergeCell ref="B45:D45"/>
    <mergeCell ref="B46:D46"/>
    <mergeCell ref="B48:D48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M26:M27"/>
    <mergeCell ref="N26:N27"/>
    <mergeCell ref="O26:O27"/>
    <mergeCell ref="P26:P27"/>
    <mergeCell ref="B28:D28"/>
    <mergeCell ref="B29:D29"/>
    <mergeCell ref="B23:D23"/>
    <mergeCell ref="G23:J23"/>
    <mergeCell ref="A24:A25"/>
    <mergeCell ref="B24:P25"/>
    <mergeCell ref="A26:A27"/>
    <mergeCell ref="B26:D27"/>
    <mergeCell ref="E26:E27"/>
    <mergeCell ref="F26:F27"/>
    <mergeCell ref="G26:K26"/>
    <mergeCell ref="L26:L27"/>
    <mergeCell ref="B20:D20"/>
    <mergeCell ref="G20:J20"/>
    <mergeCell ref="B21:D21"/>
    <mergeCell ref="G21:J21"/>
    <mergeCell ref="B22:D22"/>
    <mergeCell ref="G22:J22"/>
    <mergeCell ref="B17:D17"/>
    <mergeCell ref="G17:J17"/>
    <mergeCell ref="B18:D18"/>
    <mergeCell ref="G18:J18"/>
    <mergeCell ref="B19:D19"/>
    <mergeCell ref="G19:J19"/>
    <mergeCell ref="P12:P13"/>
    <mergeCell ref="B14:D14"/>
    <mergeCell ref="G14:J14"/>
    <mergeCell ref="A15:A16"/>
    <mergeCell ref="B15:D16"/>
    <mergeCell ref="G15:J15"/>
    <mergeCell ref="G16:J16"/>
    <mergeCell ref="B11:E11"/>
    <mergeCell ref="F11:P11"/>
    <mergeCell ref="A12:A13"/>
    <mergeCell ref="B12:E13"/>
    <mergeCell ref="F12:F13"/>
    <mergeCell ref="G12:K13"/>
    <mergeCell ref="L12:L13"/>
    <mergeCell ref="M12:M13"/>
    <mergeCell ref="N12:N13"/>
    <mergeCell ref="O12:O13"/>
    <mergeCell ref="B10:E10"/>
    <mergeCell ref="F10:G10"/>
    <mergeCell ref="I10:J10"/>
    <mergeCell ref="B6:E6"/>
    <mergeCell ref="F6:O6"/>
    <mergeCell ref="B7:E7"/>
    <mergeCell ref="F7:P7"/>
    <mergeCell ref="B8:E8"/>
    <mergeCell ref="F8:G8"/>
    <mergeCell ref="I8:J8"/>
    <mergeCell ref="B1:P1"/>
    <mergeCell ref="B2:P2"/>
    <mergeCell ref="B3:P3"/>
    <mergeCell ref="B4:P4"/>
    <mergeCell ref="B5:E5"/>
    <mergeCell ref="F5:O5"/>
    <mergeCell ref="B9:E9"/>
    <mergeCell ref="F9:G9"/>
    <mergeCell ref="I9:J9"/>
  </mergeCells>
  <printOptions/>
  <pageMargins left="0.03937007874015748" right="0" top="0" bottom="0" header="0.31496062992125984" footer="0.3937007874015748"/>
  <pageSetup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56"/>
  <sheetViews>
    <sheetView zoomScalePageLayoutView="0" workbookViewId="0" topLeftCell="A72">
      <selection activeCell="R51" sqref="R51"/>
    </sheetView>
  </sheetViews>
  <sheetFormatPr defaultColWidth="9.140625" defaultRowHeight="15"/>
  <cols>
    <col min="1" max="1" width="3.28125" style="2" customWidth="1"/>
    <col min="2" max="3" width="9.140625" style="2" customWidth="1"/>
    <col min="4" max="4" width="7.00390625" style="2" customWidth="1"/>
    <col min="5" max="5" width="13.00390625" style="2" customWidth="1"/>
    <col min="6" max="6" width="14.140625" style="2" customWidth="1"/>
    <col min="7" max="7" width="12.7109375" style="2" customWidth="1"/>
    <col min="8" max="8" width="13.140625" style="2" customWidth="1"/>
    <col min="9" max="9" width="7.00390625" style="2" customWidth="1"/>
    <col min="10" max="10" width="11.140625" style="2" customWidth="1"/>
    <col min="11" max="11" width="12.7109375" style="2" customWidth="1"/>
    <col min="12" max="12" width="13.8515625" style="2" customWidth="1"/>
    <col min="13" max="13" width="13.7109375" style="2" customWidth="1"/>
    <col min="14" max="14" width="13.421875" style="2" customWidth="1"/>
    <col min="15" max="15" width="8.421875" style="2" customWidth="1"/>
    <col min="16" max="16" width="10.421875" style="2" customWidth="1"/>
    <col min="17" max="17" width="9.140625" style="2" customWidth="1"/>
    <col min="18" max="18" width="14.28125" style="2" customWidth="1"/>
    <col min="19" max="19" width="11.140625" style="2" bestFit="1" customWidth="1"/>
    <col min="20" max="16384" width="9.140625" style="2" customWidth="1"/>
  </cols>
  <sheetData>
    <row r="1" spans="1:16" ht="15">
      <c r="A1" s="1"/>
      <c r="B1" s="318" t="s">
        <v>0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</row>
    <row r="2" spans="1:16" ht="15">
      <c r="A2" s="1"/>
      <c r="B2" s="319" t="s">
        <v>238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</row>
    <row r="3" spans="1:16" ht="15.75" thickBot="1">
      <c r="A3" s="1"/>
      <c r="B3" s="320" t="s">
        <v>1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</row>
    <row r="4" spans="1:16" ht="15.75" thickBot="1">
      <c r="A4" s="1"/>
      <c r="B4" s="321" t="s">
        <v>2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</row>
    <row r="5" spans="1:16" ht="20.25" customHeight="1" thickBot="1">
      <c r="A5" s="3"/>
      <c r="B5" s="322" t="s">
        <v>209</v>
      </c>
      <c r="C5" s="323"/>
      <c r="D5" s="323"/>
      <c r="E5" s="324"/>
      <c r="F5" s="325"/>
      <c r="G5" s="325"/>
      <c r="H5" s="325"/>
      <c r="I5" s="325"/>
      <c r="J5" s="325"/>
      <c r="K5" s="325"/>
      <c r="L5" s="325"/>
      <c r="M5" s="325"/>
      <c r="N5" s="325"/>
      <c r="O5" s="326"/>
      <c r="P5" s="4">
        <v>9380.24</v>
      </c>
    </row>
    <row r="6" spans="1:16" ht="22.5" customHeight="1" thickBot="1">
      <c r="A6" s="3"/>
      <c r="B6" s="322" t="s">
        <v>239</v>
      </c>
      <c r="C6" s="323"/>
      <c r="D6" s="323"/>
      <c r="E6" s="324"/>
      <c r="F6" s="325"/>
      <c r="G6" s="325"/>
      <c r="H6" s="325"/>
      <c r="I6" s="325"/>
      <c r="J6" s="325"/>
      <c r="K6" s="325"/>
      <c r="L6" s="325"/>
      <c r="M6" s="325"/>
      <c r="N6" s="325"/>
      <c r="O6" s="326"/>
      <c r="P6" s="265">
        <f>P10</f>
        <v>942302.3599999999</v>
      </c>
    </row>
    <row r="7" spans="1:16" ht="15.75" thickBot="1">
      <c r="A7" s="3"/>
      <c r="B7" s="332"/>
      <c r="C7" s="333"/>
      <c r="D7" s="333"/>
      <c r="E7" s="334"/>
      <c r="F7" s="335"/>
      <c r="G7" s="335"/>
      <c r="H7" s="335"/>
      <c r="I7" s="335"/>
      <c r="J7" s="335"/>
      <c r="K7" s="335"/>
      <c r="L7" s="335"/>
      <c r="M7" s="335"/>
      <c r="N7" s="336"/>
      <c r="O7" s="336"/>
      <c r="P7" s="337"/>
    </row>
    <row r="8" spans="1:16" ht="87.75" customHeight="1" thickBot="1">
      <c r="A8" s="6"/>
      <c r="B8" s="322" t="s">
        <v>3</v>
      </c>
      <c r="C8" s="323"/>
      <c r="D8" s="323"/>
      <c r="E8" s="324"/>
      <c r="F8" s="338" t="s">
        <v>4</v>
      </c>
      <c r="G8" s="339"/>
      <c r="H8" s="7" t="s">
        <v>5</v>
      </c>
      <c r="I8" s="338" t="s">
        <v>6</v>
      </c>
      <c r="J8" s="339"/>
      <c r="K8" s="8" t="s">
        <v>7</v>
      </c>
      <c r="L8" s="7" t="s">
        <v>8</v>
      </c>
      <c r="M8" s="262" t="s">
        <v>9</v>
      </c>
      <c r="N8" s="268" t="s">
        <v>10</v>
      </c>
      <c r="O8" s="11" t="s">
        <v>11</v>
      </c>
      <c r="P8" s="12"/>
    </row>
    <row r="9" spans="1:16" ht="20.25" customHeight="1" thickBot="1">
      <c r="A9" s="3"/>
      <c r="B9" s="327" t="s">
        <v>12</v>
      </c>
      <c r="C9" s="328"/>
      <c r="D9" s="328"/>
      <c r="E9" s="329"/>
      <c r="F9" s="330">
        <v>0</v>
      </c>
      <c r="G9" s="331"/>
      <c r="H9" s="4">
        <v>0</v>
      </c>
      <c r="I9" s="330">
        <v>0</v>
      </c>
      <c r="J9" s="331"/>
      <c r="K9" s="13">
        <v>0</v>
      </c>
      <c r="L9" s="4">
        <v>0</v>
      </c>
      <c r="M9" s="264">
        <v>0</v>
      </c>
      <c r="N9" s="4">
        <v>0</v>
      </c>
      <c r="O9" s="15">
        <v>0</v>
      </c>
      <c r="P9" s="265">
        <v>0</v>
      </c>
    </row>
    <row r="10" spans="1:16" ht="23.25" customHeight="1" thickBot="1">
      <c r="A10" s="3"/>
      <c r="B10" s="327" t="s">
        <v>13</v>
      </c>
      <c r="C10" s="328"/>
      <c r="D10" s="328"/>
      <c r="E10" s="329"/>
      <c r="F10" s="330">
        <v>-100561.56</v>
      </c>
      <c r="G10" s="331"/>
      <c r="H10" s="4">
        <v>779865.99</v>
      </c>
      <c r="I10" s="330">
        <v>0</v>
      </c>
      <c r="J10" s="331"/>
      <c r="K10" s="13">
        <v>0</v>
      </c>
      <c r="L10" s="4">
        <v>215882.34</v>
      </c>
      <c r="M10" s="264">
        <v>0</v>
      </c>
      <c r="N10" s="4">
        <v>0</v>
      </c>
      <c r="O10" s="4">
        <v>47115.59</v>
      </c>
      <c r="P10" s="265">
        <f>SUM(F10:O10)</f>
        <v>942302.3599999999</v>
      </c>
    </row>
    <row r="11" spans="1:16" ht="15.75" thickBot="1">
      <c r="A11" s="272"/>
      <c r="B11" s="360"/>
      <c r="C11" s="361"/>
      <c r="D11" s="361"/>
      <c r="E11" s="361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3"/>
    </row>
    <row r="12" spans="1:16" ht="15">
      <c r="A12" s="346"/>
      <c r="B12" s="364" t="s">
        <v>14</v>
      </c>
      <c r="C12" s="365"/>
      <c r="D12" s="365"/>
      <c r="E12" s="366"/>
      <c r="F12" s="340"/>
      <c r="G12" s="370" t="s">
        <v>15</v>
      </c>
      <c r="H12" s="362"/>
      <c r="I12" s="362"/>
      <c r="J12" s="362"/>
      <c r="K12" s="363"/>
      <c r="L12" s="340" t="s">
        <v>16</v>
      </c>
      <c r="M12" s="340" t="s">
        <v>17</v>
      </c>
      <c r="N12" s="340" t="s">
        <v>18</v>
      </c>
      <c r="O12" s="340" t="s">
        <v>19</v>
      </c>
      <c r="P12" s="340" t="s">
        <v>20</v>
      </c>
    </row>
    <row r="13" spans="1:16" ht="42.75" customHeight="1" thickBot="1">
      <c r="A13" s="347"/>
      <c r="B13" s="367"/>
      <c r="C13" s="368"/>
      <c r="D13" s="368"/>
      <c r="E13" s="369"/>
      <c r="F13" s="341"/>
      <c r="G13" s="371"/>
      <c r="H13" s="372"/>
      <c r="I13" s="372"/>
      <c r="J13" s="372"/>
      <c r="K13" s="373"/>
      <c r="L13" s="341"/>
      <c r="M13" s="341"/>
      <c r="N13" s="341"/>
      <c r="O13" s="341"/>
      <c r="P13" s="341"/>
    </row>
    <row r="14" spans="1:16" ht="15.75" thickBot="1">
      <c r="A14" s="3"/>
      <c r="B14" s="342" t="s">
        <v>21</v>
      </c>
      <c r="C14" s="343"/>
      <c r="D14" s="344"/>
      <c r="E14" s="17" t="s">
        <v>22</v>
      </c>
      <c r="F14" s="269">
        <v>3</v>
      </c>
      <c r="G14" s="345">
        <v>4</v>
      </c>
      <c r="H14" s="335"/>
      <c r="I14" s="335"/>
      <c r="J14" s="337"/>
      <c r="K14" s="19">
        <v>5</v>
      </c>
      <c r="L14" s="267">
        <v>6</v>
      </c>
      <c r="M14" s="7">
        <v>7</v>
      </c>
      <c r="N14" s="267">
        <v>8</v>
      </c>
      <c r="O14" s="267">
        <v>9</v>
      </c>
      <c r="P14" s="7">
        <v>10</v>
      </c>
    </row>
    <row r="15" spans="1:16" ht="29.25" thickBot="1">
      <c r="A15" s="346"/>
      <c r="B15" s="348" t="s">
        <v>23</v>
      </c>
      <c r="C15" s="349"/>
      <c r="D15" s="350"/>
      <c r="E15" s="21" t="s">
        <v>24</v>
      </c>
      <c r="F15" s="21" t="s">
        <v>25</v>
      </c>
      <c r="G15" s="354" t="s">
        <v>26</v>
      </c>
      <c r="H15" s="355"/>
      <c r="I15" s="355"/>
      <c r="J15" s="356"/>
      <c r="K15" s="22" t="s">
        <v>27</v>
      </c>
      <c r="L15" s="23" t="s">
        <v>26</v>
      </c>
      <c r="M15" s="24" t="s">
        <v>28</v>
      </c>
      <c r="N15" s="24" t="s">
        <v>26</v>
      </c>
      <c r="O15" s="24" t="s">
        <v>26</v>
      </c>
      <c r="P15" s="25" t="s">
        <v>26</v>
      </c>
    </row>
    <row r="16" spans="1:16" ht="36.75" customHeight="1" thickBot="1">
      <c r="A16" s="347"/>
      <c r="B16" s="351"/>
      <c r="C16" s="352"/>
      <c r="D16" s="353"/>
      <c r="E16" s="26">
        <f>SUM(E17:E23)</f>
        <v>1528755</v>
      </c>
      <c r="F16" s="27">
        <f>SUM(F17:F23)</f>
        <v>15413731</v>
      </c>
      <c r="G16" s="357">
        <f>G17+G18+G19+G20+G21+G22+G23</f>
        <v>1209309.37</v>
      </c>
      <c r="H16" s="358"/>
      <c r="I16" s="358"/>
      <c r="J16" s="359"/>
      <c r="K16" s="274">
        <f>SUM(K17:K23)</f>
        <v>1209309.37</v>
      </c>
      <c r="L16" s="274">
        <f>SUM(L17:L23)</f>
        <v>14835613.21</v>
      </c>
      <c r="M16" s="274">
        <f>SUM(M17:M23)</f>
        <v>319445.63</v>
      </c>
      <c r="N16" s="274">
        <f>SUM(N17:N23)</f>
        <v>578117.7899999993</v>
      </c>
      <c r="O16" s="29">
        <v>0</v>
      </c>
      <c r="P16" s="29">
        <v>0</v>
      </c>
    </row>
    <row r="17" spans="1:18" ht="51.75" customHeight="1" thickBot="1">
      <c r="A17" s="30" t="s">
        <v>29</v>
      </c>
      <c r="B17" s="383" t="s">
        <v>30</v>
      </c>
      <c r="C17" s="384"/>
      <c r="D17" s="385"/>
      <c r="E17" s="154">
        <v>1068610</v>
      </c>
      <c r="F17" s="31">
        <f>9766771+E17</f>
        <v>10835381</v>
      </c>
      <c r="G17" s="377">
        <v>291530.01</v>
      </c>
      <c r="H17" s="378"/>
      <c r="I17" s="378"/>
      <c r="J17" s="379"/>
      <c r="K17" s="271">
        <f>G17</f>
        <v>291530.01</v>
      </c>
      <c r="L17" s="33">
        <f>8406137.8+K17</f>
        <v>8697667.81</v>
      </c>
      <c r="M17" s="34">
        <f>E17-K17</f>
        <v>777079.99</v>
      </c>
      <c r="N17" s="35">
        <f>F17-L17</f>
        <v>2137713.1899999995</v>
      </c>
      <c r="O17" s="36">
        <v>0</v>
      </c>
      <c r="P17" s="36">
        <v>0</v>
      </c>
      <c r="Q17" s="1"/>
      <c r="R17" s="37">
        <v>365352.1499999948</v>
      </c>
    </row>
    <row r="18" spans="1:18" ht="44.25" customHeight="1" thickBot="1">
      <c r="A18" s="38" t="s">
        <v>31</v>
      </c>
      <c r="B18" s="386" t="s">
        <v>32</v>
      </c>
      <c r="C18" s="387"/>
      <c r="D18" s="388"/>
      <c r="E18" s="148">
        <v>450645</v>
      </c>
      <c r="F18" s="31">
        <f>4055805+E18</f>
        <v>4506450</v>
      </c>
      <c r="G18" s="377">
        <v>726022.5</v>
      </c>
      <c r="H18" s="378"/>
      <c r="I18" s="378"/>
      <c r="J18" s="379"/>
      <c r="K18" s="271">
        <f>G18</f>
        <v>726022.5</v>
      </c>
      <c r="L18" s="33">
        <f>4281127.5+K18</f>
        <v>5007150</v>
      </c>
      <c r="M18" s="34">
        <f>E18-K18</f>
        <v>-275377.5</v>
      </c>
      <c r="N18" s="35">
        <f>F18-L18</f>
        <v>-500700</v>
      </c>
      <c r="O18" s="36">
        <v>0</v>
      </c>
      <c r="P18" s="36">
        <v>0</v>
      </c>
      <c r="Q18" s="1"/>
      <c r="R18" s="1"/>
    </row>
    <row r="19" spans="1:18" ht="33.75" customHeight="1" thickBot="1">
      <c r="A19" s="38" t="s">
        <v>33</v>
      </c>
      <c r="B19" s="389" t="s">
        <v>34</v>
      </c>
      <c r="C19" s="390"/>
      <c r="D19" s="391"/>
      <c r="E19" s="39"/>
      <c r="F19" s="31">
        <f>0+E19</f>
        <v>0</v>
      </c>
      <c r="G19" s="377"/>
      <c r="H19" s="378"/>
      <c r="I19" s="378"/>
      <c r="J19" s="379"/>
      <c r="K19" s="271">
        <f>G19</f>
        <v>0</v>
      </c>
      <c r="L19" s="33">
        <f>0+K19</f>
        <v>0</v>
      </c>
      <c r="M19" s="34">
        <f aca="true" t="shared" si="0" ref="M19:N23">E19-K19</f>
        <v>0</v>
      </c>
      <c r="N19" s="35">
        <f t="shared" si="0"/>
        <v>0</v>
      </c>
      <c r="O19" s="36">
        <v>0</v>
      </c>
      <c r="P19" s="40">
        <v>0</v>
      </c>
      <c r="Q19" s="1"/>
      <c r="R19" s="1"/>
    </row>
    <row r="20" spans="1:18" ht="51.75" customHeight="1" thickBot="1">
      <c r="A20" s="41" t="s">
        <v>35</v>
      </c>
      <c r="B20" s="374" t="s">
        <v>36</v>
      </c>
      <c r="C20" s="375"/>
      <c r="D20" s="376"/>
      <c r="E20" s="42"/>
      <c r="F20" s="31">
        <f>0+E20</f>
        <v>0</v>
      </c>
      <c r="G20" s="377"/>
      <c r="H20" s="378"/>
      <c r="I20" s="378"/>
      <c r="J20" s="379"/>
      <c r="K20" s="271">
        <f>G20</f>
        <v>0</v>
      </c>
      <c r="L20" s="33">
        <f>0+K20</f>
        <v>0</v>
      </c>
      <c r="M20" s="34">
        <f t="shared" si="0"/>
        <v>0</v>
      </c>
      <c r="N20" s="35">
        <f t="shared" si="0"/>
        <v>0</v>
      </c>
      <c r="O20" s="36">
        <v>0</v>
      </c>
      <c r="P20" s="36">
        <v>0</v>
      </c>
      <c r="Q20" s="37"/>
      <c r="R20" s="37"/>
    </row>
    <row r="21" spans="1:18" ht="28.5" customHeight="1" thickBot="1">
      <c r="A21" s="43" t="s">
        <v>37</v>
      </c>
      <c r="B21" s="380" t="s">
        <v>38</v>
      </c>
      <c r="C21" s="381"/>
      <c r="D21" s="382"/>
      <c r="E21" s="44"/>
      <c r="F21" s="31">
        <f>0+E21</f>
        <v>0</v>
      </c>
      <c r="G21" s="377"/>
      <c r="H21" s="378"/>
      <c r="I21" s="378"/>
      <c r="J21" s="379"/>
      <c r="K21" s="271">
        <f>G21</f>
        <v>0</v>
      </c>
      <c r="L21" s="33">
        <f>0+K21</f>
        <v>0</v>
      </c>
      <c r="M21" s="34">
        <f t="shared" si="0"/>
        <v>0</v>
      </c>
      <c r="N21" s="35">
        <f t="shared" si="0"/>
        <v>0</v>
      </c>
      <c r="O21" s="36">
        <v>0</v>
      </c>
      <c r="P21" s="36">
        <v>0</v>
      </c>
      <c r="Q21" s="37"/>
      <c r="R21" s="1"/>
    </row>
    <row r="22" spans="1:18" ht="38.25" customHeight="1" thickBot="1">
      <c r="A22" s="43" t="s">
        <v>39</v>
      </c>
      <c r="B22" s="383" t="s">
        <v>40</v>
      </c>
      <c r="C22" s="384"/>
      <c r="D22" s="385"/>
      <c r="E22" s="149">
        <v>9500</v>
      </c>
      <c r="F22" s="31">
        <f>62400+E22</f>
        <v>71900</v>
      </c>
      <c r="G22" s="377">
        <v>11836.68</v>
      </c>
      <c r="H22" s="378"/>
      <c r="I22" s="378"/>
      <c r="J22" s="379"/>
      <c r="K22" s="271">
        <f>G22</f>
        <v>11836.68</v>
      </c>
      <c r="L22" s="33">
        <f>77005.13+K22</f>
        <v>88841.81</v>
      </c>
      <c r="M22" s="34">
        <f>E22-K22</f>
        <v>-2336.6800000000003</v>
      </c>
      <c r="N22" s="35">
        <f t="shared" si="0"/>
        <v>-16941.809999999998</v>
      </c>
      <c r="O22" s="36">
        <v>0</v>
      </c>
      <c r="P22" s="36">
        <v>0</v>
      </c>
      <c r="Q22" s="1"/>
      <c r="R22" s="1"/>
    </row>
    <row r="23" spans="1:18" ht="32.25" customHeight="1" thickBot="1">
      <c r="A23" s="43" t="s">
        <v>41</v>
      </c>
      <c r="B23" s="392" t="s">
        <v>42</v>
      </c>
      <c r="C23" s="393"/>
      <c r="D23" s="394"/>
      <c r="E23" s="46"/>
      <c r="F23" s="31"/>
      <c r="G23" s="377">
        <v>179920.18</v>
      </c>
      <c r="H23" s="378"/>
      <c r="I23" s="378"/>
      <c r="J23" s="379"/>
      <c r="K23" s="271">
        <f>G23</f>
        <v>179920.18</v>
      </c>
      <c r="L23" s="33">
        <f>862033.41+K23</f>
        <v>1041953.5900000001</v>
      </c>
      <c r="M23" s="34">
        <f t="shared" si="0"/>
        <v>-179920.18</v>
      </c>
      <c r="N23" s="35">
        <f t="shared" si="0"/>
        <v>-1041953.5900000001</v>
      </c>
      <c r="O23" s="36">
        <v>0</v>
      </c>
      <c r="P23" s="36">
        <v>0</v>
      </c>
      <c r="Q23" s="1"/>
      <c r="R23" s="1"/>
    </row>
    <row r="24" spans="1:18" ht="10.5" customHeight="1" thickBot="1">
      <c r="A24" s="275"/>
      <c r="B24" s="276"/>
      <c r="C24" s="277"/>
      <c r="D24" s="277"/>
      <c r="E24" s="278"/>
      <c r="F24" s="279"/>
      <c r="G24" s="280"/>
      <c r="H24" s="280"/>
      <c r="I24" s="280"/>
      <c r="J24" s="280"/>
      <c r="K24" s="280"/>
      <c r="L24" s="90"/>
      <c r="M24" s="281"/>
      <c r="N24" s="282"/>
      <c r="O24" s="280"/>
      <c r="P24" s="283"/>
      <c r="Q24" s="1"/>
      <c r="R24" s="1"/>
    </row>
    <row r="25" spans="1:18" ht="15">
      <c r="A25" s="346"/>
      <c r="B25" s="395" t="s">
        <v>43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7"/>
      <c r="Q25" s="1"/>
      <c r="R25" s="1"/>
    </row>
    <row r="26" spans="1:18" ht="15.75" thickBot="1">
      <c r="A26" s="347"/>
      <c r="B26" s="398"/>
      <c r="C26" s="399"/>
      <c r="D26" s="399"/>
      <c r="E26" s="399"/>
      <c r="F26" s="399"/>
      <c r="G26" s="399"/>
      <c r="H26" s="399"/>
      <c r="I26" s="399"/>
      <c r="J26" s="399"/>
      <c r="K26" s="399"/>
      <c r="L26" s="399"/>
      <c r="M26" s="399"/>
      <c r="N26" s="399"/>
      <c r="O26" s="399"/>
      <c r="P26" s="400"/>
      <c r="Q26" s="1"/>
      <c r="R26" s="1"/>
    </row>
    <row r="27" spans="1:18" ht="15.75" thickBot="1">
      <c r="A27" s="346"/>
      <c r="B27" s="364" t="s">
        <v>14</v>
      </c>
      <c r="C27" s="365"/>
      <c r="D27" s="366"/>
      <c r="E27" s="401" t="s">
        <v>24</v>
      </c>
      <c r="F27" s="403" t="s">
        <v>25</v>
      </c>
      <c r="G27" s="338" t="s">
        <v>44</v>
      </c>
      <c r="H27" s="321"/>
      <c r="I27" s="321"/>
      <c r="J27" s="321"/>
      <c r="K27" s="339"/>
      <c r="L27" s="340" t="s">
        <v>16</v>
      </c>
      <c r="M27" s="340" t="s">
        <v>17</v>
      </c>
      <c r="N27" s="340" t="s">
        <v>18</v>
      </c>
      <c r="O27" s="340" t="s">
        <v>19</v>
      </c>
      <c r="P27" s="340" t="s">
        <v>20</v>
      </c>
      <c r="Q27" s="1"/>
      <c r="R27" s="1"/>
    </row>
    <row r="28" spans="1:18" ht="73.5" customHeight="1" thickBot="1">
      <c r="A28" s="347"/>
      <c r="B28" s="367"/>
      <c r="C28" s="368"/>
      <c r="D28" s="369"/>
      <c r="E28" s="402"/>
      <c r="F28" s="404"/>
      <c r="G28" s="270" t="s">
        <v>45</v>
      </c>
      <c r="H28" s="270" t="s">
        <v>46</v>
      </c>
      <c r="I28" s="270" t="s">
        <v>47</v>
      </c>
      <c r="J28" s="7" t="s">
        <v>48</v>
      </c>
      <c r="K28" s="8" t="s">
        <v>27</v>
      </c>
      <c r="L28" s="341"/>
      <c r="M28" s="341"/>
      <c r="N28" s="341"/>
      <c r="O28" s="341"/>
      <c r="P28" s="341"/>
      <c r="Q28" s="1"/>
      <c r="R28" s="37">
        <v>365352.1499999948</v>
      </c>
    </row>
    <row r="29" spans="1:18" ht="15.75" thickBot="1">
      <c r="A29" s="3"/>
      <c r="B29" s="342">
        <v>1</v>
      </c>
      <c r="C29" s="343"/>
      <c r="D29" s="344"/>
      <c r="E29" s="17" t="s">
        <v>22</v>
      </c>
      <c r="F29" s="270">
        <v>3</v>
      </c>
      <c r="G29" s="270">
        <v>4</v>
      </c>
      <c r="H29" s="270">
        <v>5</v>
      </c>
      <c r="I29" s="7">
        <v>6</v>
      </c>
      <c r="J29" s="7">
        <v>7</v>
      </c>
      <c r="K29" s="48">
        <v>8</v>
      </c>
      <c r="L29" s="267">
        <v>9</v>
      </c>
      <c r="M29" s="7">
        <v>10</v>
      </c>
      <c r="N29" s="267">
        <v>11</v>
      </c>
      <c r="O29" s="7">
        <v>12</v>
      </c>
      <c r="P29" s="267">
        <v>13</v>
      </c>
      <c r="Q29" s="1"/>
      <c r="R29" s="1"/>
    </row>
    <row r="30" spans="1:18" ht="26.25" customHeight="1" thickBot="1">
      <c r="A30" s="3"/>
      <c r="B30" s="345" t="s">
        <v>23</v>
      </c>
      <c r="C30" s="335"/>
      <c r="D30" s="337"/>
      <c r="E30" s="49">
        <f aca="true" t="shared" si="1" ref="E30:N30">E31+E35+E39+E45+E52+E55+E65+E68+E72+E75+E79+E81+E87+E100+E131+E134+E137+E140</f>
        <v>1528755</v>
      </c>
      <c r="F30" s="49">
        <f t="shared" si="1"/>
        <v>15419235</v>
      </c>
      <c r="G30" s="49">
        <f>G31+G35+G39+G45+G52+G55+G65+G68+G72+G75+G79+G81+G87+G100+G131+G134+G137+G140</f>
        <v>226949.85</v>
      </c>
      <c r="H30" s="49">
        <f>H31+H35+H39+H45+H52+H55+H65+H68+H72+H75+H79+H81+H87+H100+H131+H134+H137+H140</f>
        <v>1062093.38</v>
      </c>
      <c r="I30" s="49">
        <f t="shared" si="1"/>
        <v>0</v>
      </c>
      <c r="J30" s="49">
        <f>J31+J35+J39+J45+J52+J55+J65+J68+J72+J75+J79+J81+J87+J100+J131+J134+J137+J140</f>
        <v>215123.06</v>
      </c>
      <c r="K30" s="49">
        <f t="shared" si="1"/>
        <v>1504166.2899999998</v>
      </c>
      <c r="L30" s="49">
        <f>L31+L35+L39+L45+L52+L55+L65+L68+L72+L75+L79+L81+L87+L100+L131+L134+L137+L140</f>
        <v>14197548.01</v>
      </c>
      <c r="M30" s="49">
        <f t="shared" si="1"/>
        <v>24588.71000000005</v>
      </c>
      <c r="N30" s="49">
        <f t="shared" si="1"/>
        <v>1221686.990000002</v>
      </c>
      <c r="O30" s="50">
        <v>0</v>
      </c>
      <c r="P30" s="50">
        <v>0</v>
      </c>
      <c r="Q30" s="1"/>
      <c r="R30" s="37">
        <f>3440426+E30</f>
        <v>4969181</v>
      </c>
    </row>
    <row r="31" spans="1:18" ht="19.5" customHeight="1" thickBot="1">
      <c r="A31" s="51" t="s">
        <v>21</v>
      </c>
      <c r="B31" s="417" t="s">
        <v>49</v>
      </c>
      <c r="C31" s="418"/>
      <c r="D31" s="419"/>
      <c r="E31" s="52">
        <f>SUM(E32:E33)</f>
        <v>814734</v>
      </c>
      <c r="F31" s="53">
        <f>F32+F33+F34</f>
        <v>7901066</v>
      </c>
      <c r="G31" s="54">
        <f>G32+G33+G34</f>
        <v>-129555.93</v>
      </c>
      <c r="H31" s="54">
        <f>H32</f>
        <v>919193.3799999999</v>
      </c>
      <c r="I31" s="54"/>
      <c r="J31" s="54"/>
      <c r="K31" s="53">
        <f>G31+H31</f>
        <v>789637.45</v>
      </c>
      <c r="L31" s="55">
        <f>L32+L33</f>
        <v>7146410.219999999</v>
      </c>
      <c r="M31" s="56">
        <f>E31-K31</f>
        <v>25096.550000000047</v>
      </c>
      <c r="N31" s="70">
        <f>F31-L31</f>
        <v>754655.7800000012</v>
      </c>
      <c r="O31" s="58">
        <v>0</v>
      </c>
      <c r="P31" s="59">
        <v>0</v>
      </c>
      <c r="Q31" s="37"/>
      <c r="R31" s="37"/>
    </row>
    <row r="32" spans="1:18" ht="21.75" customHeight="1" thickBot="1">
      <c r="A32" s="60" t="s">
        <v>50</v>
      </c>
      <c r="B32" s="426" t="s">
        <v>51</v>
      </c>
      <c r="C32" s="427"/>
      <c r="D32" s="428"/>
      <c r="E32" s="187">
        <v>374913</v>
      </c>
      <c r="F32" s="31">
        <f>3374214+E32</f>
        <v>3749127</v>
      </c>
      <c r="G32" s="62"/>
      <c r="H32" s="62">
        <f>587503.7+333320.93-1631.25</f>
        <v>919193.3799999999</v>
      </c>
      <c r="I32" s="62"/>
      <c r="J32" s="62"/>
      <c r="K32" s="45">
        <f>H32</f>
        <v>919193.3799999999</v>
      </c>
      <c r="L32" s="33">
        <f>2886838.51+K32</f>
        <v>3806031.8899999997</v>
      </c>
      <c r="M32" s="34">
        <f>E32-K32</f>
        <v>-544280.3799999999</v>
      </c>
      <c r="N32" s="63">
        <f>F32-L32</f>
        <v>-56904.889999999665</v>
      </c>
      <c r="O32" s="64">
        <v>0</v>
      </c>
      <c r="P32" s="65">
        <v>0</v>
      </c>
      <c r="Q32" s="37"/>
      <c r="R32" s="37"/>
    </row>
    <row r="33" spans="1:18" ht="27.75" customHeight="1" thickBot="1">
      <c r="A33" s="60" t="s">
        <v>52</v>
      </c>
      <c r="B33" s="405" t="s">
        <v>53</v>
      </c>
      <c r="C33" s="406"/>
      <c r="D33" s="407"/>
      <c r="E33" s="187">
        <v>439821</v>
      </c>
      <c r="F33" s="31">
        <f>3712118+E33</f>
        <v>4151939</v>
      </c>
      <c r="G33" s="62">
        <f>202133.75-333320.93+1631.25</f>
        <v>-129555.93</v>
      </c>
      <c r="H33" s="62"/>
      <c r="I33" s="62"/>
      <c r="J33" s="62"/>
      <c r="K33" s="33">
        <f>0+G33</f>
        <v>-129555.93</v>
      </c>
      <c r="L33" s="33">
        <f>3469934.26+K33</f>
        <v>3340378.3299999996</v>
      </c>
      <c r="M33" s="34">
        <f>E33-K33</f>
        <v>569376.9299999999</v>
      </c>
      <c r="N33" s="63">
        <f>F33-L33</f>
        <v>811560.6700000004</v>
      </c>
      <c r="O33" s="64">
        <v>0</v>
      </c>
      <c r="P33" s="65">
        <v>0</v>
      </c>
      <c r="Q33" s="37"/>
      <c r="R33" s="37"/>
    </row>
    <row r="34" spans="1:18" ht="15.75" thickBot="1">
      <c r="A34" s="60" t="s">
        <v>54</v>
      </c>
      <c r="B34" s="405" t="s">
        <v>55</v>
      </c>
      <c r="C34" s="406"/>
      <c r="D34" s="407"/>
      <c r="E34" s="66"/>
      <c r="F34" s="33"/>
      <c r="G34" s="62"/>
      <c r="H34" s="62"/>
      <c r="I34" s="62"/>
      <c r="J34" s="62"/>
      <c r="K34" s="45"/>
      <c r="L34" s="33"/>
      <c r="M34" s="67"/>
      <c r="N34" s="68"/>
      <c r="O34" s="64"/>
      <c r="P34" s="65"/>
      <c r="Q34" s="37"/>
      <c r="R34" s="37"/>
    </row>
    <row r="35" spans="1:18" ht="33" customHeight="1" thickBot="1">
      <c r="A35" s="69" t="s">
        <v>22</v>
      </c>
      <c r="B35" s="408" t="s">
        <v>56</v>
      </c>
      <c r="C35" s="409"/>
      <c r="D35" s="410"/>
      <c r="E35" s="53">
        <f>SUM(E36:E38)</f>
        <v>164576</v>
      </c>
      <c r="F35" s="53">
        <f>F36+F37+F38</f>
        <v>1596015</v>
      </c>
      <c r="G35" s="54">
        <f>G36+G37+G38</f>
        <v>7037.2</v>
      </c>
      <c r="H35" s="54">
        <f>H36</f>
        <v>142900</v>
      </c>
      <c r="I35" s="54"/>
      <c r="J35" s="54"/>
      <c r="K35" s="53">
        <f>G35+H35</f>
        <v>149937.2</v>
      </c>
      <c r="L35" s="55">
        <f>L36+L37</f>
        <v>1612379.4</v>
      </c>
      <c r="M35" s="56">
        <f aca="true" t="shared" si="2" ref="M35:N37">E35-K35</f>
        <v>14638.799999999988</v>
      </c>
      <c r="N35" s="70">
        <f t="shared" si="2"/>
        <v>-16364.399999999907</v>
      </c>
      <c r="O35" s="58">
        <v>0</v>
      </c>
      <c r="P35" s="59">
        <v>0</v>
      </c>
      <c r="Q35" s="1"/>
      <c r="R35" s="1"/>
    </row>
    <row r="36" spans="1:18" ht="15.75" thickBot="1">
      <c r="A36" s="60" t="s">
        <v>57</v>
      </c>
      <c r="B36" s="411" t="s">
        <v>51</v>
      </c>
      <c r="C36" s="412"/>
      <c r="D36" s="413"/>
      <c r="E36" s="188">
        <v>75732</v>
      </c>
      <c r="F36" s="31">
        <f>681592+E36</f>
        <v>757324</v>
      </c>
      <c r="G36" s="62"/>
      <c r="H36" s="62">
        <v>142900</v>
      </c>
      <c r="I36" s="62"/>
      <c r="J36" s="62"/>
      <c r="K36" s="45">
        <f>H36</f>
        <v>142900</v>
      </c>
      <c r="L36" s="33">
        <f>614423+K36</f>
        <v>757323</v>
      </c>
      <c r="M36" s="34">
        <f t="shared" si="2"/>
        <v>-67168</v>
      </c>
      <c r="N36" s="63">
        <f t="shared" si="2"/>
        <v>1</v>
      </c>
      <c r="O36" s="64">
        <v>0</v>
      </c>
      <c r="P36" s="65">
        <v>0</v>
      </c>
      <c r="Q36" s="1"/>
      <c r="R36" s="71">
        <f>10506304-F30</f>
        <v>-4912931</v>
      </c>
    </row>
    <row r="37" spans="1:18" ht="15.75" thickBot="1">
      <c r="A37" s="60" t="s">
        <v>58</v>
      </c>
      <c r="B37" s="405" t="s">
        <v>53</v>
      </c>
      <c r="C37" s="406"/>
      <c r="D37" s="407"/>
      <c r="E37" s="188">
        <v>88844</v>
      </c>
      <c r="F37" s="31">
        <f>749847+E37</f>
        <v>838691</v>
      </c>
      <c r="G37" s="62">
        <v>7037.2</v>
      </c>
      <c r="H37" s="62"/>
      <c r="I37" s="62"/>
      <c r="J37" s="62"/>
      <c r="K37" s="45">
        <f>G37</f>
        <v>7037.2</v>
      </c>
      <c r="L37" s="33">
        <f>848019.2+K37</f>
        <v>855056.3999999999</v>
      </c>
      <c r="M37" s="34">
        <f>E37-K37</f>
        <v>81806.8</v>
      </c>
      <c r="N37" s="63">
        <f t="shared" si="2"/>
        <v>-16365.399999999907</v>
      </c>
      <c r="O37" s="64">
        <v>0</v>
      </c>
      <c r="P37" s="65">
        <v>0</v>
      </c>
      <c r="Q37" s="1"/>
      <c r="R37" s="1"/>
    </row>
    <row r="38" spans="1:18" ht="15.75" thickBot="1">
      <c r="A38" s="60" t="s">
        <v>59</v>
      </c>
      <c r="B38" s="405" t="s">
        <v>55</v>
      </c>
      <c r="C38" s="406"/>
      <c r="D38" s="407"/>
      <c r="E38" s="45"/>
      <c r="F38" s="31"/>
      <c r="G38" s="62"/>
      <c r="H38" s="62"/>
      <c r="I38" s="62"/>
      <c r="J38" s="62"/>
      <c r="K38" s="45"/>
      <c r="L38" s="33"/>
      <c r="M38" s="67"/>
      <c r="N38" s="72"/>
      <c r="O38" s="64"/>
      <c r="P38" s="65"/>
      <c r="Q38" s="1"/>
      <c r="R38" s="1"/>
    </row>
    <row r="39" spans="1:18" ht="31.5" customHeight="1" thickBot="1">
      <c r="A39" s="69" t="s">
        <v>60</v>
      </c>
      <c r="B39" s="408" t="s">
        <v>61</v>
      </c>
      <c r="C39" s="409"/>
      <c r="D39" s="410"/>
      <c r="E39" s="53">
        <f>SUM(E42:E44)</f>
        <v>5065</v>
      </c>
      <c r="F39" s="73">
        <f>F42+F43+F44</f>
        <v>53650</v>
      </c>
      <c r="G39" s="54">
        <f>G41</f>
        <v>4899.45</v>
      </c>
      <c r="H39" s="54"/>
      <c r="I39" s="54"/>
      <c r="J39" s="54"/>
      <c r="K39" s="55">
        <f>K40+K41</f>
        <v>4899.45</v>
      </c>
      <c r="L39" s="55">
        <f>L41+L40</f>
        <v>51406.18</v>
      </c>
      <c r="M39" s="56">
        <f>E39-K39</f>
        <v>165.55000000000018</v>
      </c>
      <c r="N39" s="57">
        <f>F39-L39</f>
        <v>2243.8199999999997</v>
      </c>
      <c r="O39" s="58">
        <v>0</v>
      </c>
      <c r="P39" s="59">
        <v>0</v>
      </c>
      <c r="Q39" s="1"/>
      <c r="R39" s="1"/>
    </row>
    <row r="40" spans="1:18" ht="15.75" thickBot="1">
      <c r="A40" s="60" t="s">
        <v>62</v>
      </c>
      <c r="B40" s="411" t="s">
        <v>51</v>
      </c>
      <c r="C40" s="412"/>
      <c r="D40" s="413"/>
      <c r="E40" s="33"/>
      <c r="F40" s="31"/>
      <c r="G40" s="62"/>
      <c r="H40" s="62"/>
      <c r="I40" s="62"/>
      <c r="J40" s="62"/>
      <c r="K40" s="45"/>
      <c r="L40" s="33"/>
      <c r="M40" s="67"/>
      <c r="N40" s="72"/>
      <c r="O40" s="64"/>
      <c r="P40" s="65"/>
      <c r="Q40" s="1"/>
      <c r="R40" s="1"/>
    </row>
    <row r="41" spans="1:18" ht="15.75" thickBot="1">
      <c r="A41" s="60" t="s">
        <v>63</v>
      </c>
      <c r="B41" s="405" t="s">
        <v>53</v>
      </c>
      <c r="C41" s="406"/>
      <c r="D41" s="407"/>
      <c r="E41" s="45">
        <f>E42+E43+E44</f>
        <v>5065</v>
      </c>
      <c r="F41" s="31">
        <f>48585+E41</f>
        <v>53650</v>
      </c>
      <c r="G41" s="62">
        <f>G42+G43</f>
        <v>4899.45</v>
      </c>
      <c r="H41" s="62"/>
      <c r="I41" s="62"/>
      <c r="J41" s="62"/>
      <c r="K41" s="33">
        <f>0+G41</f>
        <v>4899.45</v>
      </c>
      <c r="L41" s="33">
        <f>L42+L43+L44</f>
        <v>51406.18</v>
      </c>
      <c r="M41" s="34">
        <f>E41-K41</f>
        <v>165.55000000000018</v>
      </c>
      <c r="N41" s="63">
        <f aca="true" t="shared" si="3" ref="M41:N56">F41-L41</f>
        <v>2243.8199999999997</v>
      </c>
      <c r="O41" s="64">
        <v>0</v>
      </c>
      <c r="P41" s="65">
        <v>0</v>
      </c>
      <c r="Q41" s="1"/>
      <c r="R41" s="1">
        <f>597.62+626.75+3839.72-2219</f>
        <v>2845.09</v>
      </c>
    </row>
    <row r="42" spans="1:18" ht="15.75" thickBot="1">
      <c r="A42" s="60" t="s">
        <v>64</v>
      </c>
      <c r="B42" s="414" t="s">
        <v>65</v>
      </c>
      <c r="C42" s="415"/>
      <c r="D42" s="416"/>
      <c r="E42" s="153">
        <v>2846</v>
      </c>
      <c r="F42" s="31">
        <f>25614+E42</f>
        <v>28460</v>
      </c>
      <c r="G42" s="62">
        <v>2680.45</v>
      </c>
      <c r="H42" s="62"/>
      <c r="I42" s="62"/>
      <c r="J42" s="62"/>
      <c r="K42" s="33">
        <f>0+G42</f>
        <v>2680.45</v>
      </c>
      <c r="L42" s="33">
        <f>24423.73+K42</f>
        <v>27104.18</v>
      </c>
      <c r="M42" s="34">
        <f t="shared" si="3"/>
        <v>165.55000000000018</v>
      </c>
      <c r="N42" s="63">
        <f t="shared" si="3"/>
        <v>1355.8199999999997</v>
      </c>
      <c r="O42" s="64">
        <v>0</v>
      </c>
      <c r="P42" s="65">
        <v>0</v>
      </c>
      <c r="Q42" s="1"/>
      <c r="R42" s="1"/>
    </row>
    <row r="43" spans="1:18" ht="15.75" thickBot="1">
      <c r="A43" s="60" t="s">
        <v>66</v>
      </c>
      <c r="B43" s="414" t="s">
        <v>67</v>
      </c>
      <c r="C43" s="415"/>
      <c r="D43" s="416"/>
      <c r="E43" s="153">
        <v>2219</v>
      </c>
      <c r="F43" s="31">
        <f>19971+E43</f>
        <v>22190</v>
      </c>
      <c r="G43" s="62">
        <v>2219</v>
      </c>
      <c r="H43" s="62"/>
      <c r="I43" s="62"/>
      <c r="J43" s="62"/>
      <c r="K43" s="33">
        <f>0+G43</f>
        <v>2219</v>
      </c>
      <c r="L43" s="33">
        <f>19971+K43</f>
        <v>22190</v>
      </c>
      <c r="M43" s="34">
        <f t="shared" si="3"/>
        <v>0</v>
      </c>
      <c r="N43" s="63">
        <f t="shared" si="3"/>
        <v>0</v>
      </c>
      <c r="O43" s="64">
        <v>0</v>
      </c>
      <c r="P43" s="65">
        <v>0</v>
      </c>
      <c r="Q43" s="1"/>
      <c r="R43" s="1"/>
    </row>
    <row r="44" spans="1:18" ht="15.75" thickBot="1">
      <c r="A44" s="60" t="s">
        <v>68</v>
      </c>
      <c r="B44" s="414" t="s">
        <v>210</v>
      </c>
      <c r="C44" s="415"/>
      <c r="D44" s="416"/>
      <c r="E44" s="153"/>
      <c r="F44" s="31">
        <f>3000+E44</f>
        <v>3000</v>
      </c>
      <c r="G44" s="74"/>
      <c r="H44" s="74"/>
      <c r="I44" s="74"/>
      <c r="J44" s="62"/>
      <c r="K44" s="33">
        <f>0+J44</f>
        <v>0</v>
      </c>
      <c r="L44" s="33">
        <f>2112+K44</f>
        <v>2112</v>
      </c>
      <c r="M44" s="34">
        <f t="shared" si="3"/>
        <v>0</v>
      </c>
      <c r="N44" s="63">
        <f t="shared" si="3"/>
        <v>888</v>
      </c>
      <c r="O44" s="64">
        <v>0</v>
      </c>
      <c r="P44" s="65">
        <v>0</v>
      </c>
      <c r="Q44" s="1"/>
      <c r="R44" s="37"/>
    </row>
    <row r="45" spans="1:18" ht="30.75" customHeight="1" thickBot="1">
      <c r="A45" s="51" t="s">
        <v>69</v>
      </c>
      <c r="B45" s="408" t="s">
        <v>70</v>
      </c>
      <c r="C45" s="409"/>
      <c r="D45" s="410"/>
      <c r="E45" s="53">
        <f>SUM(E48:E50)</f>
        <v>265000</v>
      </c>
      <c r="F45" s="73">
        <f>F46+F47+F48</f>
        <v>1842800</v>
      </c>
      <c r="G45" s="55">
        <f>G46+G47+G48</f>
        <v>272739.5</v>
      </c>
      <c r="H45" s="75"/>
      <c r="I45" s="75"/>
      <c r="J45" s="54"/>
      <c r="K45" s="55">
        <f>K46+K47+K48</f>
        <v>272739.5</v>
      </c>
      <c r="L45" s="55">
        <f>L46+L47+L48</f>
        <v>1629944.5</v>
      </c>
      <c r="M45" s="56">
        <f t="shared" si="3"/>
        <v>-7739.5</v>
      </c>
      <c r="N45" s="158">
        <f t="shared" si="3"/>
        <v>212855.5</v>
      </c>
      <c r="O45" s="58">
        <v>0</v>
      </c>
      <c r="P45" s="59">
        <v>0</v>
      </c>
      <c r="Q45" s="1"/>
      <c r="R45" s="1"/>
    </row>
    <row r="46" spans="1:18" ht="28.5" customHeight="1" thickBot="1">
      <c r="A46" s="60" t="s">
        <v>71</v>
      </c>
      <c r="B46" s="405" t="s">
        <v>53</v>
      </c>
      <c r="C46" s="406"/>
      <c r="D46" s="407"/>
      <c r="E46" s="155">
        <f>E49+E50</f>
        <v>265000</v>
      </c>
      <c r="F46" s="31">
        <f>F49+F50+F51</f>
        <v>1842800</v>
      </c>
      <c r="G46" s="33">
        <f>G49+G50</f>
        <v>272739.5</v>
      </c>
      <c r="H46" s="74"/>
      <c r="I46" s="74"/>
      <c r="J46" s="62"/>
      <c r="K46" s="33">
        <f>0+G46</f>
        <v>272739.5</v>
      </c>
      <c r="L46" s="33">
        <f>L49+L50</f>
        <v>1629944.5</v>
      </c>
      <c r="M46" s="34">
        <f>E46-K46</f>
        <v>-7739.5</v>
      </c>
      <c r="N46" s="35">
        <f t="shared" si="3"/>
        <v>212855.5</v>
      </c>
      <c r="O46" s="64">
        <v>0</v>
      </c>
      <c r="P46" s="65">
        <v>0</v>
      </c>
      <c r="Q46" s="1"/>
      <c r="R46" s="1"/>
    </row>
    <row r="47" spans="1:18" ht="15.75" thickBot="1">
      <c r="A47" s="60" t="s">
        <v>72</v>
      </c>
      <c r="B47" s="411" t="s">
        <v>51</v>
      </c>
      <c r="C47" s="412"/>
      <c r="D47" s="413"/>
      <c r="E47" s="76"/>
      <c r="F47" s="31"/>
      <c r="G47" s="33"/>
      <c r="H47" s="74"/>
      <c r="I47" s="74"/>
      <c r="J47" s="62"/>
      <c r="K47" s="33">
        <f aca="true" t="shared" si="4" ref="K47:K54">0+G47</f>
        <v>0</v>
      </c>
      <c r="L47" s="33">
        <f>0+K47</f>
        <v>0</v>
      </c>
      <c r="M47" s="34">
        <f t="shared" si="3"/>
        <v>0</v>
      </c>
      <c r="N47" s="63">
        <f t="shared" si="3"/>
        <v>0</v>
      </c>
      <c r="O47" s="64">
        <v>0</v>
      </c>
      <c r="P47" s="65">
        <v>0</v>
      </c>
      <c r="Q47" s="1"/>
      <c r="R47" s="1"/>
    </row>
    <row r="48" spans="1:18" ht="15.75" thickBot="1">
      <c r="A48" s="60" t="s">
        <v>73</v>
      </c>
      <c r="B48" s="77" t="s">
        <v>55</v>
      </c>
      <c r="C48" s="78"/>
      <c r="D48" s="78"/>
      <c r="E48" s="79"/>
      <c r="F48" s="31"/>
      <c r="G48" s="33"/>
      <c r="H48" s="74"/>
      <c r="I48" s="74"/>
      <c r="J48" s="62"/>
      <c r="K48" s="33">
        <f t="shared" si="4"/>
        <v>0</v>
      </c>
      <c r="L48" s="33">
        <f>0+K48</f>
        <v>0</v>
      </c>
      <c r="M48" s="34">
        <f t="shared" si="3"/>
        <v>0</v>
      </c>
      <c r="N48" s="63">
        <f t="shared" si="3"/>
        <v>0</v>
      </c>
      <c r="O48" s="64">
        <v>0</v>
      </c>
      <c r="P48" s="65">
        <v>0</v>
      </c>
      <c r="Q48" s="1"/>
      <c r="R48" s="80"/>
    </row>
    <row r="49" spans="1:18" ht="31.5" customHeight="1" thickBot="1">
      <c r="A49" s="60" t="s">
        <v>74</v>
      </c>
      <c r="B49" s="420" t="s">
        <v>75</v>
      </c>
      <c r="C49" s="421"/>
      <c r="D49" s="422"/>
      <c r="E49" s="156">
        <v>265000</v>
      </c>
      <c r="F49" s="31">
        <f>1540000+E49</f>
        <v>1805000</v>
      </c>
      <c r="G49" s="74">
        <v>272447.5</v>
      </c>
      <c r="H49" s="74"/>
      <c r="I49" s="74"/>
      <c r="J49" s="62"/>
      <c r="K49" s="33">
        <f>0+G49</f>
        <v>272447.5</v>
      </c>
      <c r="L49" s="33">
        <f>1352118+K49</f>
        <v>1624565.5</v>
      </c>
      <c r="M49" s="34">
        <f>E49-K49</f>
        <v>-7447.5</v>
      </c>
      <c r="N49" s="63">
        <f t="shared" si="3"/>
        <v>180434.5</v>
      </c>
      <c r="O49" s="64">
        <v>0</v>
      </c>
      <c r="P49" s="65">
        <v>0</v>
      </c>
      <c r="Q49" s="1"/>
      <c r="R49" s="37"/>
    </row>
    <row r="50" spans="1:18" ht="27" customHeight="1" thickBot="1">
      <c r="A50" s="60" t="s">
        <v>76</v>
      </c>
      <c r="B50" s="420" t="s">
        <v>77</v>
      </c>
      <c r="C50" s="421"/>
      <c r="D50" s="422"/>
      <c r="E50" s="156"/>
      <c r="F50" s="31">
        <f>37800+E50</f>
        <v>37800</v>
      </c>
      <c r="G50" s="74">
        <v>292</v>
      </c>
      <c r="H50" s="74"/>
      <c r="I50" s="74"/>
      <c r="J50" s="62"/>
      <c r="K50" s="33">
        <f t="shared" si="4"/>
        <v>292</v>
      </c>
      <c r="L50" s="33">
        <f>5087+K50</f>
        <v>5379</v>
      </c>
      <c r="M50" s="34">
        <f t="shared" si="3"/>
        <v>-292</v>
      </c>
      <c r="N50" s="63">
        <f t="shared" si="3"/>
        <v>32421</v>
      </c>
      <c r="O50" s="64">
        <v>0</v>
      </c>
      <c r="P50" s="65">
        <v>0</v>
      </c>
      <c r="Q50" s="1"/>
      <c r="R50" s="1"/>
    </row>
    <row r="51" spans="1:18" ht="15.75" thickBot="1">
      <c r="A51" s="60" t="s">
        <v>78</v>
      </c>
      <c r="B51" s="420" t="s">
        <v>79</v>
      </c>
      <c r="C51" s="421"/>
      <c r="D51" s="422"/>
      <c r="E51" s="74"/>
      <c r="F51" s="31">
        <f>0+E51</f>
        <v>0</v>
      </c>
      <c r="G51" s="74"/>
      <c r="H51" s="74"/>
      <c r="I51" s="74"/>
      <c r="J51" s="62"/>
      <c r="K51" s="33">
        <f t="shared" si="4"/>
        <v>0</v>
      </c>
      <c r="L51" s="33">
        <f aca="true" t="shared" si="5" ref="L51:L58">0+K51</f>
        <v>0</v>
      </c>
      <c r="M51" s="34">
        <f t="shared" si="3"/>
        <v>0</v>
      </c>
      <c r="N51" s="63">
        <f t="shared" si="3"/>
        <v>0</v>
      </c>
      <c r="O51" s="64">
        <v>0</v>
      </c>
      <c r="P51" s="65">
        <v>0</v>
      </c>
      <c r="Q51" s="1"/>
      <c r="R51" s="1"/>
    </row>
    <row r="52" spans="1:18" ht="44.25" customHeight="1" thickBot="1">
      <c r="A52" s="69" t="s">
        <v>80</v>
      </c>
      <c r="B52" s="423" t="s">
        <v>81</v>
      </c>
      <c r="C52" s="424"/>
      <c r="D52" s="425"/>
      <c r="E52" s="55">
        <v>0</v>
      </c>
      <c r="F52" s="55">
        <v>0</v>
      </c>
      <c r="G52" s="55"/>
      <c r="H52" s="55"/>
      <c r="I52" s="55"/>
      <c r="J52" s="54"/>
      <c r="K52" s="55">
        <f t="shared" si="4"/>
        <v>0</v>
      </c>
      <c r="L52" s="55">
        <f t="shared" si="5"/>
        <v>0</v>
      </c>
      <c r="M52" s="56">
        <f t="shared" si="3"/>
        <v>0</v>
      </c>
      <c r="N52" s="57">
        <f t="shared" si="3"/>
        <v>0</v>
      </c>
      <c r="O52" s="58">
        <v>0</v>
      </c>
      <c r="P52" s="59">
        <v>0</v>
      </c>
      <c r="Q52" s="1"/>
      <c r="R52" s="1"/>
    </row>
    <row r="53" spans="1:18" ht="30" customHeight="1" thickBot="1">
      <c r="A53" s="60" t="s">
        <v>82</v>
      </c>
      <c r="B53" s="405" t="s">
        <v>53</v>
      </c>
      <c r="C53" s="406"/>
      <c r="D53" s="407"/>
      <c r="E53" s="33"/>
      <c r="F53" s="33"/>
      <c r="G53" s="33"/>
      <c r="H53" s="33"/>
      <c r="I53" s="33"/>
      <c r="J53" s="62"/>
      <c r="K53" s="33">
        <f t="shared" si="4"/>
        <v>0</v>
      </c>
      <c r="L53" s="33">
        <f t="shared" si="5"/>
        <v>0</v>
      </c>
      <c r="M53" s="34">
        <f t="shared" si="3"/>
        <v>0</v>
      </c>
      <c r="N53" s="63">
        <f t="shared" si="3"/>
        <v>0</v>
      </c>
      <c r="O53" s="64">
        <v>0</v>
      </c>
      <c r="P53" s="65">
        <v>0</v>
      </c>
      <c r="Q53" s="1"/>
      <c r="R53" s="1"/>
    </row>
    <row r="54" spans="1:18" ht="20.25" customHeight="1" thickBot="1">
      <c r="A54" s="60" t="s">
        <v>83</v>
      </c>
      <c r="B54" s="457" t="s">
        <v>55</v>
      </c>
      <c r="C54" s="458"/>
      <c r="D54" s="459"/>
      <c r="E54" s="33"/>
      <c r="F54" s="33"/>
      <c r="G54" s="33"/>
      <c r="H54" s="33"/>
      <c r="I54" s="33"/>
      <c r="J54" s="62"/>
      <c r="K54" s="33">
        <f t="shared" si="4"/>
        <v>0</v>
      </c>
      <c r="L54" s="33">
        <f t="shared" si="5"/>
        <v>0</v>
      </c>
      <c r="M54" s="34">
        <f t="shared" si="3"/>
        <v>0</v>
      </c>
      <c r="N54" s="63">
        <f t="shared" si="3"/>
        <v>0</v>
      </c>
      <c r="O54" s="64">
        <v>0</v>
      </c>
      <c r="P54" s="65">
        <v>0</v>
      </c>
      <c r="Q54" s="1"/>
      <c r="R54" s="316">
        <f>СЕНТЯБРЬ!R32+ОКТЯБРЬ!J55</f>
        <v>91889.69</v>
      </c>
    </row>
    <row r="55" spans="1:18" ht="47.25" customHeight="1" thickBot="1">
      <c r="A55" s="69" t="s">
        <v>84</v>
      </c>
      <c r="B55" s="408" t="s">
        <v>85</v>
      </c>
      <c r="C55" s="409"/>
      <c r="D55" s="410"/>
      <c r="E55" s="53">
        <f>SUM(E60:E64)</f>
        <v>221300</v>
      </c>
      <c r="F55" s="73">
        <f>F56+F59</f>
        <v>1706600</v>
      </c>
      <c r="G55" s="55">
        <f>G56+G57+G58+G59</f>
        <v>21924.35</v>
      </c>
      <c r="H55" s="55"/>
      <c r="I55" s="55"/>
      <c r="J55" s="55">
        <f>J56+J57+J58+J59</f>
        <v>30753.06</v>
      </c>
      <c r="K55" s="55">
        <f>K56+K57+K58+K59</f>
        <v>52677.41</v>
      </c>
      <c r="L55" s="55">
        <f>L56+L57+L58+L59</f>
        <v>1575768.61</v>
      </c>
      <c r="M55" s="56">
        <f t="shared" si="3"/>
        <v>168622.59</v>
      </c>
      <c r="N55" s="70">
        <f t="shared" si="3"/>
        <v>130831.3899999999</v>
      </c>
      <c r="O55" s="58">
        <v>0</v>
      </c>
      <c r="P55" s="59">
        <v>0</v>
      </c>
      <c r="Q55" s="1"/>
      <c r="R55" s="37">
        <f>F60+F61+F63+F64-F59</f>
        <v>1633500</v>
      </c>
    </row>
    <row r="56" spans="1:18" ht="27.75" customHeight="1" thickBot="1">
      <c r="A56" s="60" t="s">
        <v>86</v>
      </c>
      <c r="B56" s="405" t="s">
        <v>53</v>
      </c>
      <c r="C56" s="406"/>
      <c r="D56" s="407"/>
      <c r="E56" s="81">
        <f>E60+E61+E63+E64-E59</f>
        <v>211800</v>
      </c>
      <c r="F56" s="31">
        <f>1421700+E56</f>
        <v>1633500</v>
      </c>
      <c r="G56" s="33">
        <f>G63++G60+G61+G64</f>
        <v>21924.35</v>
      </c>
      <c r="H56" s="33"/>
      <c r="I56" s="33"/>
      <c r="J56" s="33"/>
      <c r="K56" s="33">
        <f>0+G56</f>
        <v>21924.35</v>
      </c>
      <c r="L56" s="33">
        <f>1484904.16+K56</f>
        <v>1506828.51</v>
      </c>
      <c r="M56" s="34">
        <f>E56-K56</f>
        <v>189875.65</v>
      </c>
      <c r="N56" s="63">
        <f t="shared" si="3"/>
        <v>126671.48999999999</v>
      </c>
      <c r="O56" s="64">
        <v>0</v>
      </c>
      <c r="P56" s="65">
        <v>0</v>
      </c>
      <c r="Q56" s="1"/>
      <c r="R56" s="37"/>
    </row>
    <row r="57" spans="1:18" ht="27" customHeight="1" thickBot="1">
      <c r="A57" s="60" t="s">
        <v>87</v>
      </c>
      <c r="B57" s="411" t="s">
        <v>88</v>
      </c>
      <c r="C57" s="412"/>
      <c r="D57" s="413"/>
      <c r="E57" s="61"/>
      <c r="F57" s="31"/>
      <c r="G57" s="33"/>
      <c r="H57" s="33"/>
      <c r="I57" s="33"/>
      <c r="J57" s="33"/>
      <c r="K57" s="33">
        <f aca="true" t="shared" si="6" ref="K57:K62">0+G57</f>
        <v>0</v>
      </c>
      <c r="L57" s="33">
        <f t="shared" si="5"/>
        <v>0</v>
      </c>
      <c r="M57" s="34">
        <f aca="true" t="shared" si="7" ref="M57:N72">E57-K57</f>
        <v>0</v>
      </c>
      <c r="N57" s="63">
        <f t="shared" si="7"/>
        <v>0</v>
      </c>
      <c r="O57" s="64">
        <v>0</v>
      </c>
      <c r="P57" s="65">
        <v>0</v>
      </c>
      <c r="Q57" s="1"/>
      <c r="R57" s="37"/>
    </row>
    <row r="58" spans="1:18" ht="15.75" thickBot="1">
      <c r="A58" s="60" t="s">
        <v>89</v>
      </c>
      <c r="B58" s="435" t="s">
        <v>55</v>
      </c>
      <c r="C58" s="436"/>
      <c r="D58" s="436"/>
      <c r="E58" s="82"/>
      <c r="F58" s="31"/>
      <c r="G58" s="33"/>
      <c r="H58" s="33"/>
      <c r="I58" s="33"/>
      <c r="J58" s="33"/>
      <c r="K58" s="33">
        <f t="shared" si="6"/>
        <v>0</v>
      </c>
      <c r="L58" s="33">
        <f t="shared" si="5"/>
        <v>0</v>
      </c>
      <c r="M58" s="34">
        <f t="shared" si="7"/>
        <v>0</v>
      </c>
      <c r="N58" s="63">
        <f t="shared" si="7"/>
        <v>0</v>
      </c>
      <c r="O58" s="64">
        <v>0</v>
      </c>
      <c r="P58" s="65">
        <v>0</v>
      </c>
      <c r="Q58" s="1"/>
      <c r="R58" s="37">
        <f>L60+L61+L62+L63+L64</f>
        <v>1613955.65</v>
      </c>
    </row>
    <row r="59" spans="1:18" ht="28.5" customHeight="1" thickBot="1">
      <c r="A59" s="60" t="s">
        <v>90</v>
      </c>
      <c r="B59" s="383" t="s">
        <v>40</v>
      </c>
      <c r="C59" s="384"/>
      <c r="D59" s="385"/>
      <c r="E59" s="155">
        <v>9500</v>
      </c>
      <c r="F59" s="31">
        <f>63600+E59</f>
        <v>73100</v>
      </c>
      <c r="G59" s="33"/>
      <c r="H59" s="33"/>
      <c r="I59" s="33"/>
      <c r="J59" s="33">
        <f>J63+J64+J60</f>
        <v>30753.06</v>
      </c>
      <c r="K59" s="33">
        <f>0+J59</f>
        <v>30753.06</v>
      </c>
      <c r="L59" s="33">
        <f>38187.04+K59</f>
        <v>68940.1</v>
      </c>
      <c r="M59" s="34">
        <f t="shared" si="7"/>
        <v>-21253.06</v>
      </c>
      <c r="N59" s="63">
        <f t="shared" si="7"/>
        <v>4159.899999999994</v>
      </c>
      <c r="O59" s="64">
        <v>0</v>
      </c>
      <c r="P59" s="65">
        <v>0</v>
      </c>
      <c r="Q59" s="1"/>
      <c r="R59" s="37">
        <f>F60+F61+F63+F64</f>
        <v>1706600</v>
      </c>
    </row>
    <row r="60" spans="1:18" ht="30" customHeight="1" thickBot="1">
      <c r="A60" s="60" t="s">
        <v>91</v>
      </c>
      <c r="B60" s="437" t="s">
        <v>92</v>
      </c>
      <c r="C60" s="438"/>
      <c r="D60" s="439"/>
      <c r="E60" s="156">
        <v>80000</v>
      </c>
      <c r="F60" s="31">
        <f>530000+E60</f>
        <v>610000</v>
      </c>
      <c r="G60" s="74">
        <v>21924.35</v>
      </c>
      <c r="H60" s="74"/>
      <c r="I60" s="74"/>
      <c r="J60" s="33">
        <v>16443.27</v>
      </c>
      <c r="K60" s="33">
        <f>J60+G60</f>
        <v>38367.619999999995</v>
      </c>
      <c r="L60" s="33">
        <f>493015.6+K60</f>
        <v>531383.22</v>
      </c>
      <c r="M60" s="34">
        <f t="shared" si="7"/>
        <v>41632.380000000005</v>
      </c>
      <c r="N60" s="35">
        <f t="shared" si="7"/>
        <v>78616.78000000003</v>
      </c>
      <c r="O60" s="64">
        <v>0</v>
      </c>
      <c r="P60" s="65">
        <v>0</v>
      </c>
      <c r="Q60" s="1"/>
      <c r="R60" s="80"/>
    </row>
    <row r="61" spans="1:18" ht="18.75" customHeight="1" thickBot="1">
      <c r="A61" s="60" t="s">
        <v>93</v>
      </c>
      <c r="B61" s="426" t="s">
        <v>94</v>
      </c>
      <c r="C61" s="427"/>
      <c r="D61" s="427"/>
      <c r="E61" s="152">
        <v>130000</v>
      </c>
      <c r="F61" s="31">
        <f>870000+E61</f>
        <v>1000000</v>
      </c>
      <c r="G61" s="74"/>
      <c r="H61" s="74"/>
      <c r="I61" s="74"/>
      <c r="J61" s="33"/>
      <c r="K61" s="33">
        <f>0+G61</f>
        <v>0</v>
      </c>
      <c r="L61" s="33">
        <f>986172.22+K61</f>
        <v>986172.22</v>
      </c>
      <c r="M61" s="34">
        <f t="shared" si="7"/>
        <v>130000</v>
      </c>
      <c r="N61" s="63">
        <f t="shared" si="7"/>
        <v>13827.780000000028</v>
      </c>
      <c r="O61" s="64">
        <v>0</v>
      </c>
      <c r="P61" s="65">
        <v>0</v>
      </c>
      <c r="Q61" s="1"/>
      <c r="R61" s="37"/>
    </row>
    <row r="62" spans="1:18" ht="15.75" thickBot="1">
      <c r="A62" s="60" t="s">
        <v>93</v>
      </c>
      <c r="B62" s="440" t="s">
        <v>95</v>
      </c>
      <c r="C62" s="441"/>
      <c r="D62" s="442"/>
      <c r="E62" s="152"/>
      <c r="F62" s="31"/>
      <c r="G62" s="74"/>
      <c r="H62" s="74"/>
      <c r="I62" s="74"/>
      <c r="J62" s="33"/>
      <c r="K62" s="33">
        <f t="shared" si="6"/>
        <v>0</v>
      </c>
      <c r="L62" s="33">
        <f>0+K62</f>
        <v>0</v>
      </c>
      <c r="M62" s="34">
        <f t="shared" si="7"/>
        <v>0</v>
      </c>
      <c r="N62" s="63">
        <f t="shared" si="7"/>
        <v>0</v>
      </c>
      <c r="O62" s="64">
        <v>0</v>
      </c>
      <c r="P62" s="65">
        <v>0</v>
      </c>
      <c r="Q62" s="1"/>
      <c r="R62" s="1"/>
    </row>
    <row r="63" spans="1:18" ht="18" customHeight="1" thickBot="1">
      <c r="A63" s="60" t="s">
        <v>96</v>
      </c>
      <c r="B63" s="426" t="s">
        <v>97</v>
      </c>
      <c r="C63" s="427"/>
      <c r="D63" s="428"/>
      <c r="E63" s="152">
        <v>6000</v>
      </c>
      <c r="F63" s="31">
        <f>45300+E63</f>
        <v>51300</v>
      </c>
      <c r="G63" s="83"/>
      <c r="H63" s="84"/>
      <c r="I63" s="74"/>
      <c r="J63" s="74">
        <v>7643.64</v>
      </c>
      <c r="K63" s="33">
        <f>0+J63+G63</f>
        <v>7643.64</v>
      </c>
      <c r="L63" s="33">
        <f>43840.15+K63</f>
        <v>51483.79</v>
      </c>
      <c r="M63" s="34">
        <f t="shared" si="7"/>
        <v>-1643.6400000000003</v>
      </c>
      <c r="N63" s="63">
        <f t="shared" si="7"/>
        <v>-183.79000000000087</v>
      </c>
      <c r="O63" s="64">
        <v>0</v>
      </c>
      <c r="P63" s="65">
        <v>0</v>
      </c>
      <c r="Q63" s="1"/>
      <c r="R63" s="1"/>
    </row>
    <row r="64" spans="1:18" ht="27.75" customHeight="1" thickBot="1">
      <c r="A64" s="60" t="s">
        <v>98</v>
      </c>
      <c r="B64" s="426" t="s">
        <v>99</v>
      </c>
      <c r="C64" s="427"/>
      <c r="D64" s="428"/>
      <c r="E64" s="152">
        <v>5300</v>
      </c>
      <c r="F64" s="31">
        <f>40000+E64</f>
        <v>45300</v>
      </c>
      <c r="G64" s="85"/>
      <c r="H64" s="74"/>
      <c r="I64" s="74"/>
      <c r="J64" s="74">
        <v>6666.15</v>
      </c>
      <c r="K64" s="33">
        <f>0+J64+G64</f>
        <v>6666.15</v>
      </c>
      <c r="L64" s="33">
        <f>38250.27+K64</f>
        <v>44916.42</v>
      </c>
      <c r="M64" s="34">
        <f t="shared" si="7"/>
        <v>-1366.1499999999996</v>
      </c>
      <c r="N64" s="63">
        <f t="shared" si="7"/>
        <v>383.58000000000175</v>
      </c>
      <c r="O64" s="64">
        <v>0</v>
      </c>
      <c r="P64" s="65">
        <v>0</v>
      </c>
      <c r="Q64" s="1"/>
      <c r="R64" s="1"/>
    </row>
    <row r="65" spans="1:18" ht="38.25" customHeight="1" thickBot="1">
      <c r="A65" s="86" t="s">
        <v>100</v>
      </c>
      <c r="B65" s="429" t="s">
        <v>101</v>
      </c>
      <c r="C65" s="430"/>
      <c r="D65" s="431"/>
      <c r="E65" s="53">
        <f>E66</f>
        <v>0</v>
      </c>
      <c r="F65" s="73">
        <f>F66+F67</f>
        <v>342500</v>
      </c>
      <c r="G65" s="75">
        <f>G66+G67</f>
        <v>0</v>
      </c>
      <c r="H65" s="55"/>
      <c r="I65" s="55">
        <f>I67</f>
        <v>0</v>
      </c>
      <c r="J65" s="55">
        <f>J66+J67</f>
        <v>0</v>
      </c>
      <c r="K65" s="55">
        <f>K66+K67</f>
        <v>0</v>
      </c>
      <c r="L65" s="55">
        <f>L66+L67</f>
        <v>60074</v>
      </c>
      <c r="M65" s="56">
        <f t="shared" si="7"/>
        <v>0</v>
      </c>
      <c r="N65" s="70">
        <f t="shared" si="7"/>
        <v>282426</v>
      </c>
      <c r="O65" s="58">
        <v>0</v>
      </c>
      <c r="P65" s="59">
        <v>0</v>
      </c>
      <c r="Q65" s="1"/>
      <c r="R65" s="1"/>
    </row>
    <row r="66" spans="1:18" ht="15.75" thickBot="1">
      <c r="A66" s="60" t="s">
        <v>102</v>
      </c>
      <c r="B66" s="405" t="s">
        <v>53</v>
      </c>
      <c r="C66" s="406"/>
      <c r="D66" s="407"/>
      <c r="E66" s="45"/>
      <c r="F66" s="31">
        <f>342500+E66</f>
        <v>342500</v>
      </c>
      <c r="G66" s="74"/>
      <c r="H66" s="33"/>
      <c r="I66" s="33"/>
      <c r="J66" s="33"/>
      <c r="K66" s="33">
        <f>0+G66</f>
        <v>0</v>
      </c>
      <c r="L66" s="33">
        <f>60074+K66</f>
        <v>60074</v>
      </c>
      <c r="M66" s="34">
        <f t="shared" si="7"/>
        <v>0</v>
      </c>
      <c r="N66" s="35">
        <f t="shared" si="7"/>
        <v>282426</v>
      </c>
      <c r="O66" s="64">
        <v>0</v>
      </c>
      <c r="P66" s="65">
        <v>0</v>
      </c>
      <c r="Q66" s="1"/>
      <c r="R66" s="1"/>
    </row>
    <row r="67" spans="1:18" ht="15.75" thickBot="1">
      <c r="A67" s="60" t="s">
        <v>103</v>
      </c>
      <c r="B67" s="435" t="s">
        <v>104</v>
      </c>
      <c r="C67" s="436"/>
      <c r="D67" s="490"/>
      <c r="E67" s="45"/>
      <c r="F67" s="31"/>
      <c r="G67" s="74"/>
      <c r="H67" s="33"/>
      <c r="I67" s="33"/>
      <c r="J67" s="33"/>
      <c r="K67" s="33">
        <f>0+I67</f>
        <v>0</v>
      </c>
      <c r="L67" s="33">
        <f>0+K67</f>
        <v>0</v>
      </c>
      <c r="M67" s="34">
        <f t="shared" si="7"/>
        <v>0</v>
      </c>
      <c r="N67" s="35">
        <f t="shared" si="7"/>
        <v>0</v>
      </c>
      <c r="O67" s="64">
        <v>0</v>
      </c>
      <c r="P67" s="65">
        <v>0</v>
      </c>
      <c r="Q67" s="1"/>
      <c r="R67" s="1"/>
    </row>
    <row r="68" spans="1:18" ht="41.25" customHeight="1" thickBot="1">
      <c r="A68" s="69" t="s">
        <v>105</v>
      </c>
      <c r="B68" s="423" t="s">
        <v>240</v>
      </c>
      <c r="C68" s="424"/>
      <c r="D68" s="425"/>
      <c r="E68" s="53">
        <f>E69</f>
        <v>0</v>
      </c>
      <c r="F68" s="73">
        <f>F69+F70+F71</f>
        <v>665000</v>
      </c>
      <c r="G68" s="75">
        <f>G69+G70</f>
        <v>0</v>
      </c>
      <c r="H68" s="55"/>
      <c r="I68" s="55"/>
      <c r="J68" s="55"/>
      <c r="K68" s="55">
        <f>K69+K70+K71</f>
        <v>0</v>
      </c>
      <c r="L68" s="55">
        <f>L69+L70+L71</f>
        <v>63728</v>
      </c>
      <c r="M68" s="56">
        <f t="shared" si="7"/>
        <v>0</v>
      </c>
      <c r="N68" s="70">
        <f t="shared" si="7"/>
        <v>601272</v>
      </c>
      <c r="O68" s="58">
        <v>0</v>
      </c>
      <c r="P68" s="59">
        <v>0</v>
      </c>
      <c r="Q68" s="1"/>
      <c r="R68" s="37"/>
    </row>
    <row r="69" spans="1:18" ht="15.75" thickBot="1">
      <c r="A69" s="60" t="s">
        <v>107</v>
      </c>
      <c r="B69" s="446" t="s">
        <v>53</v>
      </c>
      <c r="C69" s="447"/>
      <c r="D69" s="448"/>
      <c r="E69" s="61"/>
      <c r="F69" s="31">
        <f>665000+E69</f>
        <v>665000</v>
      </c>
      <c r="G69" s="74"/>
      <c r="H69" s="33"/>
      <c r="I69" s="33"/>
      <c r="J69" s="33"/>
      <c r="K69" s="33">
        <f>G69</f>
        <v>0</v>
      </c>
      <c r="L69" s="33">
        <f>63728+K69</f>
        <v>63728</v>
      </c>
      <c r="M69" s="34">
        <f>E69-K69</f>
        <v>0</v>
      </c>
      <c r="N69" s="35">
        <f t="shared" si="7"/>
        <v>601272</v>
      </c>
      <c r="O69" s="64">
        <v>0</v>
      </c>
      <c r="P69" s="65">
        <v>0</v>
      </c>
      <c r="Q69" s="1"/>
      <c r="R69" s="37"/>
    </row>
    <row r="70" spans="1:18" ht="15.75" thickBot="1">
      <c r="A70" s="60" t="s">
        <v>108</v>
      </c>
      <c r="B70" s="435" t="s">
        <v>104</v>
      </c>
      <c r="C70" s="436"/>
      <c r="D70" s="490"/>
      <c r="E70" s="61"/>
      <c r="F70" s="31"/>
      <c r="G70" s="74"/>
      <c r="H70" s="33"/>
      <c r="I70" s="33"/>
      <c r="J70" s="33"/>
      <c r="K70" s="33">
        <f>G70</f>
        <v>0</v>
      </c>
      <c r="L70" s="33">
        <f>0+K70</f>
        <v>0</v>
      </c>
      <c r="M70" s="34">
        <f t="shared" si="7"/>
        <v>0</v>
      </c>
      <c r="N70" s="35">
        <f t="shared" si="7"/>
        <v>0</v>
      </c>
      <c r="O70" s="64">
        <v>0</v>
      </c>
      <c r="P70" s="65">
        <v>0</v>
      </c>
      <c r="Q70" s="1"/>
      <c r="R70" s="37"/>
    </row>
    <row r="71" spans="1:18" ht="15.75" thickBot="1">
      <c r="A71" s="60" t="s">
        <v>109</v>
      </c>
      <c r="B71" s="446" t="s">
        <v>55</v>
      </c>
      <c r="C71" s="447"/>
      <c r="D71" s="448"/>
      <c r="E71" s="81"/>
      <c r="F71" s="31"/>
      <c r="G71" s="74"/>
      <c r="H71" s="33"/>
      <c r="I71" s="33"/>
      <c r="J71" s="33"/>
      <c r="K71" s="33">
        <f>0+J71</f>
        <v>0</v>
      </c>
      <c r="L71" s="33">
        <f>0+K71</f>
        <v>0</v>
      </c>
      <c r="M71" s="34">
        <f t="shared" si="7"/>
        <v>0</v>
      </c>
      <c r="N71" s="35">
        <f t="shared" si="7"/>
        <v>0</v>
      </c>
      <c r="O71" s="64">
        <v>0</v>
      </c>
      <c r="P71" s="65">
        <v>0</v>
      </c>
      <c r="Q71" s="1"/>
      <c r="R71" s="37"/>
    </row>
    <row r="72" spans="1:18" ht="20.25" customHeight="1" thickBot="1">
      <c r="A72" s="87" t="s">
        <v>110</v>
      </c>
      <c r="B72" s="443" t="s">
        <v>111</v>
      </c>
      <c r="C72" s="444"/>
      <c r="D72" s="445"/>
      <c r="E72" s="53">
        <f>E73+E74</f>
        <v>3000</v>
      </c>
      <c r="F72" s="73">
        <f>F73</f>
        <v>25500</v>
      </c>
      <c r="G72" s="75">
        <f>G73+G74</f>
        <v>410</v>
      </c>
      <c r="H72" s="55"/>
      <c r="I72" s="55"/>
      <c r="J72" s="55"/>
      <c r="K72" s="55">
        <f>G72</f>
        <v>410</v>
      </c>
      <c r="L72" s="55">
        <f>L73</f>
        <v>35176</v>
      </c>
      <c r="M72" s="56">
        <f t="shared" si="7"/>
        <v>2590</v>
      </c>
      <c r="N72" s="70">
        <f t="shared" si="7"/>
        <v>-9676</v>
      </c>
      <c r="O72" s="58">
        <v>0</v>
      </c>
      <c r="P72" s="59">
        <v>0</v>
      </c>
      <c r="Q72" s="1"/>
      <c r="R72" s="1"/>
    </row>
    <row r="73" spans="1:18" ht="15.75" thickBot="1">
      <c r="A73" s="60" t="s">
        <v>107</v>
      </c>
      <c r="B73" s="405" t="s">
        <v>53</v>
      </c>
      <c r="C73" s="406"/>
      <c r="D73" s="407"/>
      <c r="E73" s="61">
        <v>3000</v>
      </c>
      <c r="F73" s="31">
        <f>22500+E73</f>
        <v>25500</v>
      </c>
      <c r="G73" s="74">
        <v>410</v>
      </c>
      <c r="H73" s="33"/>
      <c r="I73" s="33"/>
      <c r="J73" s="33"/>
      <c r="K73" s="33">
        <f>G73</f>
        <v>410</v>
      </c>
      <c r="L73" s="33">
        <f>34766+K73</f>
        <v>35176</v>
      </c>
      <c r="M73" s="34">
        <f aca="true" t="shared" si="8" ref="M73:N83">E73-K73</f>
        <v>2590</v>
      </c>
      <c r="N73" s="35">
        <f t="shared" si="8"/>
        <v>-9676</v>
      </c>
      <c r="O73" s="64">
        <v>0</v>
      </c>
      <c r="P73" s="65">
        <v>0</v>
      </c>
      <c r="Q73" s="1"/>
      <c r="R73" s="1"/>
    </row>
    <row r="74" spans="1:18" ht="15.75" thickBot="1">
      <c r="A74" s="60" t="s">
        <v>109</v>
      </c>
      <c r="B74" s="405" t="s">
        <v>55</v>
      </c>
      <c r="C74" s="406"/>
      <c r="D74" s="407"/>
      <c r="E74" s="81"/>
      <c r="F74" s="31"/>
      <c r="G74" s="74"/>
      <c r="H74" s="33"/>
      <c r="I74" s="33"/>
      <c r="J74" s="33"/>
      <c r="K74" s="33">
        <f>0+J74</f>
        <v>0</v>
      </c>
      <c r="L74" s="33">
        <f>0+K74</f>
        <v>0</v>
      </c>
      <c r="M74" s="34">
        <f t="shared" si="8"/>
        <v>0</v>
      </c>
      <c r="N74" s="35">
        <f t="shared" si="8"/>
        <v>0</v>
      </c>
      <c r="O74" s="64">
        <v>0</v>
      </c>
      <c r="P74" s="65">
        <v>0</v>
      </c>
      <c r="Q74" s="1"/>
      <c r="R74" s="1"/>
    </row>
    <row r="75" spans="1:18" ht="45.75" customHeight="1" thickBot="1">
      <c r="A75" s="87" t="s">
        <v>112</v>
      </c>
      <c r="B75" s="443" t="s">
        <v>113</v>
      </c>
      <c r="C75" s="444"/>
      <c r="D75" s="445"/>
      <c r="E75" s="53">
        <f>E76</f>
        <v>5000</v>
      </c>
      <c r="F75" s="73">
        <f>F76+F77</f>
        <v>227000</v>
      </c>
      <c r="G75" s="75">
        <f>G76+G77+G78</f>
        <v>9478.5</v>
      </c>
      <c r="H75" s="55"/>
      <c r="I75" s="55">
        <f>I76+I77</f>
        <v>0</v>
      </c>
      <c r="J75" s="55"/>
      <c r="K75" s="55">
        <f>K76+K77+K78</f>
        <v>9478.5</v>
      </c>
      <c r="L75" s="55">
        <f>L76+L77+L78</f>
        <v>123831.49</v>
      </c>
      <c r="M75" s="56">
        <f t="shared" si="8"/>
        <v>-4478.5</v>
      </c>
      <c r="N75" s="70">
        <f t="shared" si="8"/>
        <v>103168.51</v>
      </c>
      <c r="O75" s="58">
        <v>0</v>
      </c>
      <c r="P75" s="59">
        <v>0</v>
      </c>
      <c r="Q75" s="1"/>
      <c r="R75" s="1"/>
    </row>
    <row r="76" spans="1:18" ht="28.5" customHeight="1" thickBot="1">
      <c r="A76" s="60" t="s">
        <v>114</v>
      </c>
      <c r="B76" s="405" t="s">
        <v>53</v>
      </c>
      <c r="C76" s="406"/>
      <c r="D76" s="407"/>
      <c r="E76" s="61">
        <v>5000</v>
      </c>
      <c r="F76" s="31">
        <f>222000+E76</f>
        <v>227000</v>
      </c>
      <c r="G76" s="74">
        <v>9478.5</v>
      </c>
      <c r="H76" s="33"/>
      <c r="I76" s="33"/>
      <c r="J76" s="33"/>
      <c r="K76" s="33">
        <f>G76</f>
        <v>9478.5</v>
      </c>
      <c r="L76" s="33">
        <f>114352.99+K76</f>
        <v>123831.49</v>
      </c>
      <c r="M76" s="34">
        <f>E76-K76</f>
        <v>-4478.5</v>
      </c>
      <c r="N76" s="35">
        <f t="shared" si="8"/>
        <v>103168.51</v>
      </c>
      <c r="O76" s="64">
        <v>0</v>
      </c>
      <c r="P76" s="65">
        <v>0</v>
      </c>
      <c r="Q76" s="1"/>
      <c r="R76" s="1"/>
    </row>
    <row r="77" spans="1:18" ht="15.75" thickBot="1">
      <c r="A77" s="60" t="s">
        <v>115</v>
      </c>
      <c r="B77" s="435" t="s">
        <v>104</v>
      </c>
      <c r="C77" s="436"/>
      <c r="D77" s="490"/>
      <c r="E77" s="81"/>
      <c r="F77" s="31"/>
      <c r="G77" s="74"/>
      <c r="H77" s="33"/>
      <c r="I77" s="33"/>
      <c r="J77" s="33"/>
      <c r="K77" s="33">
        <f>I77</f>
        <v>0</v>
      </c>
      <c r="L77" s="33">
        <f>0+K77</f>
        <v>0</v>
      </c>
      <c r="M77" s="34">
        <f t="shared" si="8"/>
        <v>0</v>
      </c>
      <c r="N77" s="35">
        <f t="shared" si="8"/>
        <v>0</v>
      </c>
      <c r="O77" s="64">
        <v>0</v>
      </c>
      <c r="P77" s="65">
        <v>0</v>
      </c>
      <c r="Q77" s="1"/>
      <c r="R77" s="1"/>
    </row>
    <row r="78" spans="1:18" ht="15.75" thickBot="1">
      <c r="A78" s="60" t="s">
        <v>116</v>
      </c>
      <c r="B78" s="405" t="s">
        <v>55</v>
      </c>
      <c r="C78" s="406"/>
      <c r="D78" s="407"/>
      <c r="E78" s="61"/>
      <c r="F78" s="31"/>
      <c r="G78" s="74"/>
      <c r="H78" s="33"/>
      <c r="I78" s="33"/>
      <c r="J78" s="33"/>
      <c r="K78" s="33">
        <f>0+J78</f>
        <v>0</v>
      </c>
      <c r="L78" s="33">
        <f>0+K78</f>
        <v>0</v>
      </c>
      <c r="M78" s="34">
        <f t="shared" si="8"/>
        <v>0</v>
      </c>
      <c r="N78" s="35">
        <f t="shared" si="8"/>
        <v>0</v>
      </c>
      <c r="O78" s="64">
        <v>0</v>
      </c>
      <c r="P78" s="65">
        <v>0</v>
      </c>
      <c r="Q78" s="1"/>
      <c r="R78" s="1"/>
    </row>
    <row r="79" spans="1:18" ht="43.5" customHeight="1" thickBot="1">
      <c r="A79" s="69" t="s">
        <v>117</v>
      </c>
      <c r="B79" s="408" t="s">
        <v>118</v>
      </c>
      <c r="C79" s="409"/>
      <c r="D79" s="410"/>
      <c r="E79" s="53">
        <f>E80</f>
        <v>0</v>
      </c>
      <c r="F79" s="73">
        <f>F80</f>
        <v>3500</v>
      </c>
      <c r="G79" s="75">
        <f>G80</f>
        <v>1484.5</v>
      </c>
      <c r="H79" s="55"/>
      <c r="I79" s="55"/>
      <c r="J79" s="55"/>
      <c r="K79" s="55">
        <f>0+J79+G79</f>
        <v>1484.5</v>
      </c>
      <c r="L79" s="55">
        <f>L80</f>
        <v>3458</v>
      </c>
      <c r="M79" s="56">
        <f t="shared" si="8"/>
        <v>-1484.5</v>
      </c>
      <c r="N79" s="70">
        <f t="shared" si="8"/>
        <v>42</v>
      </c>
      <c r="O79" s="58">
        <v>0</v>
      </c>
      <c r="P79" s="59">
        <v>0</v>
      </c>
      <c r="Q79" s="1"/>
      <c r="R79" s="1"/>
    </row>
    <row r="80" spans="1:18" ht="28.5" customHeight="1" thickBot="1">
      <c r="A80" s="60" t="s">
        <v>119</v>
      </c>
      <c r="B80" s="405" t="s">
        <v>53</v>
      </c>
      <c r="C80" s="406"/>
      <c r="D80" s="407"/>
      <c r="E80" s="81"/>
      <c r="F80" s="31">
        <f>3500+E80</f>
        <v>3500</v>
      </c>
      <c r="G80" s="74">
        <v>1484.5</v>
      </c>
      <c r="H80" s="33"/>
      <c r="I80" s="33"/>
      <c r="J80" s="33"/>
      <c r="K80" s="33">
        <f>0+J80+G80</f>
        <v>1484.5</v>
      </c>
      <c r="L80" s="33">
        <f>1973.5+K80</f>
        <v>3458</v>
      </c>
      <c r="M80" s="34">
        <f>E80-K80</f>
        <v>-1484.5</v>
      </c>
      <c r="N80" s="35">
        <f t="shared" si="8"/>
        <v>42</v>
      </c>
      <c r="O80" s="64">
        <v>0</v>
      </c>
      <c r="P80" s="65">
        <v>0</v>
      </c>
      <c r="Q80" s="1"/>
      <c r="R80" s="1"/>
    </row>
    <row r="81" spans="1:18" ht="17.25" customHeight="1" thickBot="1">
      <c r="A81" s="69" t="s">
        <v>120</v>
      </c>
      <c r="B81" s="408" t="s">
        <v>121</v>
      </c>
      <c r="C81" s="409"/>
      <c r="D81" s="410"/>
      <c r="E81" s="53">
        <f>E82</f>
        <v>18500</v>
      </c>
      <c r="F81" s="73">
        <f>F82</f>
        <v>37000</v>
      </c>
      <c r="G81" s="75">
        <f>G82</f>
        <v>0</v>
      </c>
      <c r="H81" s="55"/>
      <c r="I81" s="55"/>
      <c r="J81" s="55"/>
      <c r="K81" s="55">
        <f>0+J81+G81</f>
        <v>0</v>
      </c>
      <c r="L81" s="55">
        <f>L82</f>
        <v>12592.98</v>
      </c>
      <c r="M81" s="56">
        <f t="shared" si="8"/>
        <v>18500</v>
      </c>
      <c r="N81" s="70">
        <f t="shared" si="8"/>
        <v>24407.02</v>
      </c>
      <c r="O81" s="58">
        <v>0</v>
      </c>
      <c r="P81" s="59">
        <v>0</v>
      </c>
      <c r="Q81" s="1"/>
      <c r="R81" s="1"/>
    </row>
    <row r="82" spans="1:18" ht="28.5" customHeight="1" thickBot="1">
      <c r="A82" s="60" t="s">
        <v>122</v>
      </c>
      <c r="B82" s="411" t="s">
        <v>53</v>
      </c>
      <c r="C82" s="412"/>
      <c r="D82" s="413"/>
      <c r="E82" s="81">
        <v>18500</v>
      </c>
      <c r="F82" s="31">
        <f>18500+E82</f>
        <v>37000</v>
      </c>
      <c r="G82" s="89"/>
      <c r="H82" s="90"/>
      <c r="I82" s="91"/>
      <c r="J82" s="90"/>
      <c r="K82" s="33">
        <f>0+J82+G82</f>
        <v>0</v>
      </c>
      <c r="L82" s="33">
        <f>12592.98+L83</f>
        <v>12592.98</v>
      </c>
      <c r="M82" s="34">
        <f t="shared" si="8"/>
        <v>18500</v>
      </c>
      <c r="N82" s="35">
        <f t="shared" si="8"/>
        <v>24407.02</v>
      </c>
      <c r="O82" s="64">
        <v>0</v>
      </c>
      <c r="P82" s="65">
        <v>0</v>
      </c>
      <c r="Q82" s="1"/>
      <c r="R82" s="1"/>
    </row>
    <row r="83" spans="1:18" ht="18" customHeight="1" thickBot="1">
      <c r="A83" s="60" t="s">
        <v>123</v>
      </c>
      <c r="B83" s="435" t="s">
        <v>55</v>
      </c>
      <c r="C83" s="436"/>
      <c r="D83" s="490"/>
      <c r="E83" s="81"/>
      <c r="F83" s="33"/>
      <c r="G83" s="74"/>
      <c r="H83" s="92"/>
      <c r="I83" s="33"/>
      <c r="J83" s="92"/>
      <c r="K83" s="33">
        <f>0+J83</f>
        <v>0</v>
      </c>
      <c r="L83" s="33">
        <v>0</v>
      </c>
      <c r="M83" s="34">
        <f>E83-K83</f>
        <v>0</v>
      </c>
      <c r="N83" s="35">
        <f t="shared" si="8"/>
        <v>0</v>
      </c>
      <c r="O83" s="64">
        <v>0</v>
      </c>
      <c r="P83" s="65">
        <v>0</v>
      </c>
      <c r="Q83" s="1"/>
      <c r="R83" s="1"/>
    </row>
    <row r="84" spans="1:18" ht="15.75" thickBot="1">
      <c r="A84" s="449"/>
      <c r="B84" s="364" t="s">
        <v>14</v>
      </c>
      <c r="C84" s="365"/>
      <c r="D84" s="366"/>
      <c r="E84" s="401" t="s">
        <v>24</v>
      </c>
      <c r="F84" s="403" t="s">
        <v>25</v>
      </c>
      <c r="G84" s="338" t="s">
        <v>44</v>
      </c>
      <c r="H84" s="321"/>
      <c r="I84" s="321"/>
      <c r="J84" s="321"/>
      <c r="K84" s="339"/>
      <c r="L84" s="340" t="s">
        <v>16</v>
      </c>
      <c r="M84" s="340" t="s">
        <v>17</v>
      </c>
      <c r="N84" s="340" t="s">
        <v>18</v>
      </c>
      <c r="O84" s="340" t="s">
        <v>19</v>
      </c>
      <c r="P84" s="340" t="s">
        <v>20</v>
      </c>
      <c r="Q84" s="1"/>
      <c r="R84" s="1"/>
    </row>
    <row r="85" spans="1:18" ht="73.5" customHeight="1" thickBot="1">
      <c r="A85" s="450"/>
      <c r="B85" s="367"/>
      <c r="C85" s="368"/>
      <c r="D85" s="369"/>
      <c r="E85" s="402"/>
      <c r="F85" s="404"/>
      <c r="G85" s="270" t="s">
        <v>45</v>
      </c>
      <c r="H85" s="270" t="s">
        <v>46</v>
      </c>
      <c r="I85" s="270" t="s">
        <v>47</v>
      </c>
      <c r="J85" s="7" t="s">
        <v>124</v>
      </c>
      <c r="K85" s="8" t="s">
        <v>27</v>
      </c>
      <c r="L85" s="341"/>
      <c r="M85" s="341"/>
      <c r="N85" s="341"/>
      <c r="O85" s="341"/>
      <c r="P85" s="341"/>
      <c r="Q85" s="1"/>
      <c r="R85" s="1" t="s">
        <v>216</v>
      </c>
    </row>
    <row r="86" spans="1:18" ht="15.75" thickBot="1">
      <c r="A86" s="60"/>
      <c r="B86" s="342">
        <v>1</v>
      </c>
      <c r="C86" s="343"/>
      <c r="D86" s="344"/>
      <c r="E86" s="17" t="s">
        <v>22</v>
      </c>
      <c r="F86" s="270">
        <v>3</v>
      </c>
      <c r="G86" s="270">
        <v>4</v>
      </c>
      <c r="H86" s="270">
        <v>5</v>
      </c>
      <c r="I86" s="7">
        <v>6</v>
      </c>
      <c r="J86" s="7">
        <v>7</v>
      </c>
      <c r="K86" s="48">
        <v>8</v>
      </c>
      <c r="L86" s="267">
        <v>9</v>
      </c>
      <c r="M86" s="7">
        <v>10</v>
      </c>
      <c r="N86" s="267">
        <v>11</v>
      </c>
      <c r="O86" s="7">
        <v>12</v>
      </c>
      <c r="P86" s="267">
        <v>13</v>
      </c>
      <c r="Q86" s="1"/>
      <c r="R86" s="1"/>
    </row>
    <row r="87" spans="1:18" ht="42.75" customHeight="1" thickBot="1">
      <c r="A87" s="51" t="s">
        <v>125</v>
      </c>
      <c r="B87" s="408" t="s">
        <v>126</v>
      </c>
      <c r="C87" s="409"/>
      <c r="D87" s="410"/>
      <c r="E87" s="53">
        <f>E88</f>
        <v>29380</v>
      </c>
      <c r="F87" s="73">
        <f>F88+F89+F90+F91</f>
        <v>303800</v>
      </c>
      <c r="G87" s="53">
        <f>G88+G89+G90+G91</f>
        <v>21635.190000000002</v>
      </c>
      <c r="H87" s="55"/>
      <c r="I87" s="55">
        <f>I88+I89+I90</f>
        <v>0</v>
      </c>
      <c r="J87" s="55"/>
      <c r="K87" s="93">
        <f>K88+K89+K90+K91</f>
        <v>21635.190000000002</v>
      </c>
      <c r="L87" s="55">
        <f>L88+L89+L90+L91</f>
        <v>271789.77</v>
      </c>
      <c r="M87" s="56">
        <f aca="true" t="shared" si="9" ref="M87:N102">E87-K87</f>
        <v>7744.809999999998</v>
      </c>
      <c r="N87" s="70">
        <f t="shared" si="9"/>
        <v>32010.22999999998</v>
      </c>
      <c r="O87" s="58">
        <v>0</v>
      </c>
      <c r="P87" s="59">
        <v>0</v>
      </c>
      <c r="Q87" s="37"/>
      <c r="R87" s="1"/>
    </row>
    <row r="88" spans="1:18" ht="27.75" customHeight="1" thickBot="1">
      <c r="A88" s="60" t="s">
        <v>127</v>
      </c>
      <c r="B88" s="405" t="s">
        <v>53</v>
      </c>
      <c r="C88" s="406"/>
      <c r="D88" s="407"/>
      <c r="E88" s="61">
        <f>E92+E93+E95+E96+E97+E99+E98+E94</f>
        <v>29380</v>
      </c>
      <c r="F88" s="31">
        <f>274420+E88</f>
        <v>303800</v>
      </c>
      <c r="G88" s="45">
        <f>G93+G95+G96+G97+G92+G99+G94</f>
        <v>21635.190000000002</v>
      </c>
      <c r="H88" s="33"/>
      <c r="I88" s="33"/>
      <c r="J88" s="33"/>
      <c r="K88" s="94">
        <f>G88</f>
        <v>21635.190000000002</v>
      </c>
      <c r="L88" s="33">
        <f>L92+L93+L95+L96+L97+L98+L99+L94</f>
        <v>271789.77</v>
      </c>
      <c r="M88" s="34">
        <f t="shared" si="9"/>
        <v>7744.809999999998</v>
      </c>
      <c r="N88" s="35">
        <f t="shared" si="9"/>
        <v>32010.22999999998</v>
      </c>
      <c r="O88" s="64">
        <v>0</v>
      </c>
      <c r="P88" s="65">
        <v>0</v>
      </c>
      <c r="Q88" s="37"/>
      <c r="R88" s="1"/>
    </row>
    <row r="89" spans="1:18" ht="15.75" thickBot="1">
      <c r="A89" s="60" t="s">
        <v>128</v>
      </c>
      <c r="B89" s="457" t="s">
        <v>51</v>
      </c>
      <c r="C89" s="458"/>
      <c r="D89" s="459"/>
      <c r="E89" s="61"/>
      <c r="F89" s="31"/>
      <c r="G89" s="45"/>
      <c r="H89" s="33"/>
      <c r="I89" s="33"/>
      <c r="J89" s="33"/>
      <c r="K89" s="94">
        <f aca="true" t="shared" si="10" ref="K89:K98">G89</f>
        <v>0</v>
      </c>
      <c r="L89" s="33"/>
      <c r="M89" s="34">
        <f t="shared" si="9"/>
        <v>0</v>
      </c>
      <c r="N89" s="35">
        <f t="shared" si="9"/>
        <v>0</v>
      </c>
      <c r="O89" s="64">
        <v>0</v>
      </c>
      <c r="P89" s="65">
        <v>0</v>
      </c>
      <c r="Q89" s="37"/>
      <c r="R89" s="1"/>
    </row>
    <row r="90" spans="1:18" ht="28.5" customHeight="1" thickBot="1">
      <c r="A90" s="60" t="s">
        <v>129</v>
      </c>
      <c r="B90" s="405" t="s">
        <v>104</v>
      </c>
      <c r="C90" s="406"/>
      <c r="D90" s="407"/>
      <c r="E90" s="61"/>
      <c r="F90" s="31"/>
      <c r="G90" s="45"/>
      <c r="H90" s="33"/>
      <c r="I90" s="33">
        <f>I96</f>
        <v>0</v>
      </c>
      <c r="J90" s="33"/>
      <c r="K90" s="94">
        <f>I90</f>
        <v>0</v>
      </c>
      <c r="L90" s="33">
        <f>0+K90</f>
        <v>0</v>
      </c>
      <c r="M90" s="34">
        <f t="shared" si="9"/>
        <v>0</v>
      </c>
      <c r="N90" s="35">
        <f t="shared" si="9"/>
        <v>0</v>
      </c>
      <c r="O90" s="64">
        <v>0</v>
      </c>
      <c r="P90" s="65">
        <v>0</v>
      </c>
      <c r="Q90" s="37"/>
      <c r="R90" s="1"/>
    </row>
    <row r="91" spans="1:18" ht="15.75" thickBot="1">
      <c r="A91" s="60" t="s">
        <v>130</v>
      </c>
      <c r="B91" s="405" t="s">
        <v>55</v>
      </c>
      <c r="C91" s="406"/>
      <c r="D91" s="407"/>
      <c r="E91" s="61"/>
      <c r="F91" s="31"/>
      <c r="G91" s="45"/>
      <c r="H91" s="33"/>
      <c r="I91" s="33"/>
      <c r="J91" s="33"/>
      <c r="K91" s="94">
        <f t="shared" si="10"/>
        <v>0</v>
      </c>
      <c r="L91" s="33">
        <f>0+K91</f>
        <v>0</v>
      </c>
      <c r="M91" s="34">
        <f t="shared" si="9"/>
        <v>0</v>
      </c>
      <c r="N91" s="35">
        <f t="shared" si="9"/>
        <v>0</v>
      </c>
      <c r="O91" s="64">
        <v>0</v>
      </c>
      <c r="P91" s="65">
        <v>0</v>
      </c>
      <c r="Q91" s="37"/>
      <c r="R91" s="80">
        <f>L92+L93+L94+L95+L96+L97+L98+L99</f>
        <v>271789.77</v>
      </c>
    </row>
    <row r="92" spans="1:18" ht="21" customHeight="1" thickBot="1">
      <c r="A92" s="60" t="s">
        <v>131</v>
      </c>
      <c r="B92" s="420" t="s">
        <v>132</v>
      </c>
      <c r="C92" s="421"/>
      <c r="D92" s="422"/>
      <c r="E92" s="152">
        <v>3150</v>
      </c>
      <c r="F92" s="31">
        <f>25200+E92</f>
        <v>28350</v>
      </c>
      <c r="G92" s="45">
        <v>3000</v>
      </c>
      <c r="H92" s="74"/>
      <c r="I92" s="74"/>
      <c r="J92" s="74"/>
      <c r="K92" s="94">
        <f t="shared" si="10"/>
        <v>3000</v>
      </c>
      <c r="L92" s="33">
        <f>27000+K92</f>
        <v>30000</v>
      </c>
      <c r="M92" s="34">
        <f t="shared" si="9"/>
        <v>150</v>
      </c>
      <c r="N92" s="35">
        <f t="shared" si="9"/>
        <v>-1650</v>
      </c>
      <c r="O92" s="64">
        <v>0</v>
      </c>
      <c r="P92" s="65">
        <v>0</v>
      </c>
      <c r="Q92" s="1"/>
      <c r="R92" s="37">
        <f>L88+L89+L90+L91</f>
        <v>271789.77</v>
      </c>
    </row>
    <row r="93" spans="1:18" ht="30.75" customHeight="1" thickBot="1">
      <c r="A93" s="60" t="s">
        <v>133</v>
      </c>
      <c r="B93" s="420" t="s">
        <v>134</v>
      </c>
      <c r="C93" s="421"/>
      <c r="D93" s="422"/>
      <c r="E93" s="156">
        <v>4600</v>
      </c>
      <c r="F93" s="31">
        <f>36800+E93</f>
        <v>41400</v>
      </c>
      <c r="G93" s="45"/>
      <c r="H93" s="74"/>
      <c r="I93" s="74"/>
      <c r="J93" s="74"/>
      <c r="K93" s="94">
        <f>G93</f>
        <v>0</v>
      </c>
      <c r="L93" s="33">
        <f>31200+K93</f>
        <v>31200</v>
      </c>
      <c r="M93" s="34">
        <f t="shared" si="9"/>
        <v>4600</v>
      </c>
      <c r="N93" s="35">
        <f t="shared" si="9"/>
        <v>10200</v>
      </c>
      <c r="O93" s="64">
        <v>0</v>
      </c>
      <c r="P93" s="65">
        <v>0</v>
      </c>
      <c r="Q93" s="1"/>
      <c r="R93" s="1"/>
    </row>
    <row r="94" spans="1:18" ht="27.75" customHeight="1" thickBot="1">
      <c r="A94" s="60" t="s">
        <v>135</v>
      </c>
      <c r="B94" s="420" t="s">
        <v>136</v>
      </c>
      <c r="C94" s="421"/>
      <c r="D94" s="422"/>
      <c r="E94" s="152"/>
      <c r="F94" s="31">
        <f>0+E94</f>
        <v>0</v>
      </c>
      <c r="G94" s="45"/>
      <c r="H94" s="74"/>
      <c r="I94" s="74"/>
      <c r="J94" s="74"/>
      <c r="K94" s="94">
        <f t="shared" si="10"/>
        <v>0</v>
      </c>
      <c r="L94" s="33">
        <f>12301.32+K94</f>
        <v>12301.32</v>
      </c>
      <c r="M94" s="34">
        <f t="shared" si="9"/>
        <v>0</v>
      </c>
      <c r="N94" s="35">
        <f t="shared" si="9"/>
        <v>-12301.32</v>
      </c>
      <c r="O94" s="64">
        <v>0</v>
      </c>
      <c r="P94" s="65">
        <v>0</v>
      </c>
      <c r="Q94" s="1"/>
      <c r="R94" s="1"/>
    </row>
    <row r="95" spans="1:18" ht="22.5" customHeight="1" thickBot="1">
      <c r="A95" s="60" t="s">
        <v>137</v>
      </c>
      <c r="B95" s="420" t="s">
        <v>138</v>
      </c>
      <c r="C95" s="421"/>
      <c r="D95" s="422"/>
      <c r="E95" s="152">
        <v>1420</v>
      </c>
      <c r="F95" s="31">
        <f>11360+E95</f>
        <v>12780</v>
      </c>
      <c r="G95" s="45"/>
      <c r="H95" s="74"/>
      <c r="I95" s="74"/>
      <c r="J95" s="74"/>
      <c r="K95" s="94">
        <f t="shared" si="10"/>
        <v>0</v>
      </c>
      <c r="L95" s="33">
        <f>10685+K95</f>
        <v>10685</v>
      </c>
      <c r="M95" s="34">
        <f t="shared" si="9"/>
        <v>1420</v>
      </c>
      <c r="N95" s="35">
        <f t="shared" si="9"/>
        <v>2095</v>
      </c>
      <c r="O95" s="64">
        <v>0</v>
      </c>
      <c r="P95" s="65">
        <v>0</v>
      </c>
      <c r="Q95" s="1"/>
      <c r="R95" s="1"/>
    </row>
    <row r="96" spans="1:18" ht="20.25" customHeight="1" thickBot="1">
      <c r="A96" s="60" t="s">
        <v>139</v>
      </c>
      <c r="B96" s="420" t="s">
        <v>140</v>
      </c>
      <c r="C96" s="421"/>
      <c r="D96" s="422"/>
      <c r="E96" s="152">
        <v>7500</v>
      </c>
      <c r="F96" s="31">
        <f>54000+E96</f>
        <v>61500</v>
      </c>
      <c r="G96" s="45">
        <v>6164.43</v>
      </c>
      <c r="H96" s="74"/>
      <c r="I96" s="74"/>
      <c r="J96" s="74"/>
      <c r="K96" s="94">
        <f>G96+I96</f>
        <v>6164.43</v>
      </c>
      <c r="L96" s="33">
        <f>51581.96+K96</f>
        <v>57746.39</v>
      </c>
      <c r="M96" s="34">
        <f t="shared" si="9"/>
        <v>1335.5699999999997</v>
      </c>
      <c r="N96" s="35">
        <f t="shared" si="9"/>
        <v>3753.6100000000006</v>
      </c>
      <c r="O96" s="64">
        <v>0</v>
      </c>
      <c r="P96" s="65">
        <v>0</v>
      </c>
      <c r="Q96" s="1"/>
      <c r="R96" s="71">
        <f>F92+F93+F94+F95+F96+F97+F98+F99</f>
        <v>264620</v>
      </c>
    </row>
    <row r="97" spans="1:16" ht="20.25" customHeight="1" thickBot="1">
      <c r="A97" s="60" t="s">
        <v>141</v>
      </c>
      <c r="B97" s="491" t="s">
        <v>142</v>
      </c>
      <c r="C97" s="492"/>
      <c r="D97" s="493"/>
      <c r="E97" s="152">
        <v>2910</v>
      </c>
      <c r="F97" s="31">
        <f>23280+E97</f>
        <v>26190</v>
      </c>
      <c r="G97" s="45">
        <v>3100</v>
      </c>
      <c r="H97" s="74"/>
      <c r="I97" s="74"/>
      <c r="J97" s="74"/>
      <c r="K97" s="94">
        <f t="shared" si="10"/>
        <v>3100</v>
      </c>
      <c r="L97" s="33">
        <f>23944+K97</f>
        <v>27044</v>
      </c>
      <c r="M97" s="34">
        <f t="shared" si="9"/>
        <v>-190</v>
      </c>
      <c r="N97" s="35">
        <f t="shared" si="9"/>
        <v>-854</v>
      </c>
      <c r="O97" s="64">
        <v>0</v>
      </c>
      <c r="P97" s="65">
        <v>0</v>
      </c>
    </row>
    <row r="98" spans="1:16" ht="29.25" customHeight="1" thickBot="1">
      <c r="A98" s="60" t="s">
        <v>143</v>
      </c>
      <c r="B98" s="420" t="s">
        <v>144</v>
      </c>
      <c r="C98" s="421"/>
      <c r="D98" s="422"/>
      <c r="E98" s="152"/>
      <c r="F98" s="31">
        <f>16000+E98</f>
        <v>16000</v>
      </c>
      <c r="G98" s="45"/>
      <c r="H98" s="74"/>
      <c r="I98" s="74"/>
      <c r="J98" s="74"/>
      <c r="K98" s="94">
        <f t="shared" si="10"/>
        <v>0</v>
      </c>
      <c r="L98" s="33">
        <f>5000+K98</f>
        <v>5000</v>
      </c>
      <c r="M98" s="34">
        <f t="shared" si="9"/>
        <v>0</v>
      </c>
      <c r="N98" s="35">
        <f t="shared" si="9"/>
        <v>11000</v>
      </c>
      <c r="O98" s="64">
        <v>0</v>
      </c>
      <c r="P98" s="65">
        <v>0</v>
      </c>
    </row>
    <row r="99" spans="1:16" ht="20.25" customHeight="1" thickBot="1">
      <c r="A99" s="60" t="s">
        <v>145</v>
      </c>
      <c r="B99" s="420" t="s">
        <v>146</v>
      </c>
      <c r="C99" s="421"/>
      <c r="D99" s="422"/>
      <c r="E99" s="152">
        <v>9800</v>
      </c>
      <c r="F99" s="31">
        <f>68600+E99</f>
        <v>78400</v>
      </c>
      <c r="G99" s="45">
        <v>9370.76</v>
      </c>
      <c r="H99" s="74"/>
      <c r="I99" s="74"/>
      <c r="J99" s="74"/>
      <c r="K99" s="94">
        <f>G99</f>
        <v>9370.76</v>
      </c>
      <c r="L99" s="33">
        <f>88442.3+K99</f>
        <v>97813.06</v>
      </c>
      <c r="M99" s="34">
        <f t="shared" si="9"/>
        <v>429.2399999999998</v>
      </c>
      <c r="N99" s="35">
        <f t="shared" si="9"/>
        <v>-19413.059999999998</v>
      </c>
      <c r="O99" s="64">
        <v>0</v>
      </c>
      <c r="P99" s="65">
        <v>0</v>
      </c>
    </row>
    <row r="100" spans="1:18" ht="38.25" customHeight="1" thickBot="1">
      <c r="A100" s="86" t="s">
        <v>147</v>
      </c>
      <c r="B100" s="423" t="s">
        <v>148</v>
      </c>
      <c r="C100" s="424"/>
      <c r="D100" s="425"/>
      <c r="E100" s="73">
        <f>E101+E102</f>
        <v>2200</v>
      </c>
      <c r="F100" s="73">
        <f>F101+F102+F103+F104</f>
        <v>579300</v>
      </c>
      <c r="G100" s="73">
        <f>G101+G103+G104</f>
        <v>16897.09</v>
      </c>
      <c r="H100" s="75">
        <f>H102</f>
        <v>0</v>
      </c>
      <c r="I100" s="55">
        <f>I103</f>
        <v>0</v>
      </c>
      <c r="J100" s="55"/>
      <c r="K100" s="73">
        <f>G100+H100+I100+J100</f>
        <v>16897.09</v>
      </c>
      <c r="L100" s="55">
        <f>L101+L102+L103+L104</f>
        <v>529673.97</v>
      </c>
      <c r="M100" s="56">
        <f t="shared" si="9"/>
        <v>-14697.09</v>
      </c>
      <c r="N100" s="70">
        <f t="shared" si="9"/>
        <v>49626.03000000003</v>
      </c>
      <c r="O100" s="58">
        <v>0</v>
      </c>
      <c r="P100" s="59">
        <v>0</v>
      </c>
      <c r="R100" s="95">
        <f>L101+L103-L100</f>
        <v>0</v>
      </c>
    </row>
    <row r="101" spans="1:18" ht="15.75" thickBot="1">
      <c r="A101" s="60" t="s">
        <v>149</v>
      </c>
      <c r="B101" s="405" t="s">
        <v>53</v>
      </c>
      <c r="C101" s="406"/>
      <c r="D101" s="407"/>
      <c r="E101" s="61">
        <f>E105+E106+E113+E118+E130+E112+E127+E114+E119</f>
        <v>2200</v>
      </c>
      <c r="F101" s="31">
        <f>577100+E101</f>
        <v>579300</v>
      </c>
      <c r="G101" s="74">
        <f>G112++G106+G113+G117+G119+G127+G118+G105+G129</f>
        <v>16897.09</v>
      </c>
      <c r="H101" s="74"/>
      <c r="I101" s="33"/>
      <c r="J101" s="33"/>
      <c r="K101" s="94">
        <f>G101</f>
        <v>16897.09</v>
      </c>
      <c r="L101" s="33">
        <f>512776.88+K101</f>
        <v>529673.97</v>
      </c>
      <c r="M101" s="34">
        <f t="shared" si="9"/>
        <v>-14697.09</v>
      </c>
      <c r="N101" s="35">
        <f t="shared" si="9"/>
        <v>49626.03000000003</v>
      </c>
      <c r="O101" s="64">
        <v>0</v>
      </c>
      <c r="P101" s="65">
        <v>0</v>
      </c>
      <c r="R101" s="95"/>
    </row>
    <row r="102" spans="1:18" ht="15.75" thickBot="1">
      <c r="A102" s="60" t="s">
        <v>150</v>
      </c>
      <c r="B102" s="457" t="s">
        <v>51</v>
      </c>
      <c r="C102" s="458"/>
      <c r="D102" s="459"/>
      <c r="E102" s="61">
        <f>E128</f>
        <v>0</v>
      </c>
      <c r="F102" s="31">
        <f>0+E102</f>
        <v>0</v>
      </c>
      <c r="G102" s="74"/>
      <c r="H102" s="74">
        <f>H128</f>
        <v>0</v>
      </c>
      <c r="I102" s="33"/>
      <c r="J102" s="33"/>
      <c r="K102" s="94">
        <f>H102</f>
        <v>0</v>
      </c>
      <c r="L102" s="33">
        <f>0+K102</f>
        <v>0</v>
      </c>
      <c r="M102" s="34">
        <f t="shared" si="9"/>
        <v>0</v>
      </c>
      <c r="N102" s="35">
        <f t="shared" si="9"/>
        <v>0</v>
      </c>
      <c r="O102" s="64">
        <v>0</v>
      </c>
      <c r="P102" s="65">
        <v>0</v>
      </c>
      <c r="R102" s="96"/>
    </row>
    <row r="103" spans="1:16" ht="27.75" customHeight="1" thickBot="1">
      <c r="A103" s="60" t="s">
        <v>151</v>
      </c>
      <c r="B103" s="405" t="s">
        <v>104</v>
      </c>
      <c r="C103" s="406"/>
      <c r="D103" s="407"/>
      <c r="E103" s="61"/>
      <c r="F103" s="31"/>
      <c r="G103" s="31"/>
      <c r="H103" s="74"/>
      <c r="I103" s="33">
        <f>I127+I116+I130</f>
        <v>0</v>
      </c>
      <c r="J103" s="33"/>
      <c r="K103" s="94">
        <f>I103</f>
        <v>0</v>
      </c>
      <c r="L103" s="33">
        <f>0+K103</f>
        <v>0</v>
      </c>
      <c r="M103" s="34">
        <f aca="true" t="shared" si="11" ref="M103:N119">E103-K103</f>
        <v>0</v>
      </c>
      <c r="N103" s="35">
        <f t="shared" si="11"/>
        <v>0</v>
      </c>
      <c r="O103" s="64">
        <v>0</v>
      </c>
      <c r="P103" s="65">
        <v>0</v>
      </c>
    </row>
    <row r="104" spans="1:18" ht="15.75" thickBot="1">
      <c r="A104" s="60" t="s">
        <v>152</v>
      </c>
      <c r="B104" s="457" t="s">
        <v>55</v>
      </c>
      <c r="C104" s="458"/>
      <c r="D104" s="459"/>
      <c r="E104" s="61"/>
      <c r="F104" s="31"/>
      <c r="G104" s="74"/>
      <c r="H104" s="74"/>
      <c r="I104" s="33"/>
      <c r="J104" s="33"/>
      <c r="K104" s="94">
        <f>G104</f>
        <v>0</v>
      </c>
      <c r="L104" s="33">
        <f>0+K104</f>
        <v>0</v>
      </c>
      <c r="M104" s="34">
        <f t="shared" si="11"/>
        <v>0</v>
      </c>
      <c r="N104" s="35">
        <f t="shared" si="11"/>
        <v>0</v>
      </c>
      <c r="O104" s="64">
        <v>0</v>
      </c>
      <c r="P104" s="65">
        <v>0</v>
      </c>
      <c r="R104" s="95">
        <f>L105+L112+L113+L117+L118+L130</f>
        <v>89158.62</v>
      </c>
    </row>
    <row r="105" spans="1:16" ht="19.5" customHeight="1" thickBot="1">
      <c r="A105" s="60" t="s">
        <v>153</v>
      </c>
      <c r="B105" s="460" t="s">
        <v>154</v>
      </c>
      <c r="C105" s="461"/>
      <c r="D105" s="462"/>
      <c r="E105" s="31"/>
      <c r="F105" s="31">
        <f>40000+E105</f>
        <v>40000</v>
      </c>
      <c r="G105" s="74">
        <v>6300</v>
      </c>
      <c r="H105" s="74"/>
      <c r="I105" s="74"/>
      <c r="J105" s="74"/>
      <c r="K105" s="94">
        <f aca="true" t="shared" si="12" ref="K105:K119">G105</f>
        <v>6300</v>
      </c>
      <c r="L105" s="33">
        <f>7600+K105</f>
        <v>13900</v>
      </c>
      <c r="M105" s="34">
        <f t="shared" si="11"/>
        <v>-6300</v>
      </c>
      <c r="N105" s="35">
        <f t="shared" si="11"/>
        <v>26100</v>
      </c>
      <c r="O105" s="64">
        <v>0</v>
      </c>
      <c r="P105" s="65">
        <v>0</v>
      </c>
    </row>
    <row r="106" spans="1:16" ht="30" customHeight="1" thickBot="1">
      <c r="A106" s="60" t="s">
        <v>155</v>
      </c>
      <c r="B106" s="420" t="s">
        <v>156</v>
      </c>
      <c r="C106" s="421"/>
      <c r="D106" s="422"/>
      <c r="E106" s="31"/>
      <c r="F106" s="31">
        <f>11200+E106</f>
        <v>11200</v>
      </c>
      <c r="G106" s="74"/>
      <c r="H106" s="74"/>
      <c r="I106" s="74"/>
      <c r="J106" s="74"/>
      <c r="K106" s="94">
        <f t="shared" si="12"/>
        <v>0</v>
      </c>
      <c r="L106" s="33">
        <f>2800+K106</f>
        <v>2800</v>
      </c>
      <c r="M106" s="34">
        <f t="shared" si="11"/>
        <v>0</v>
      </c>
      <c r="N106" s="35">
        <f t="shared" si="11"/>
        <v>8400</v>
      </c>
      <c r="O106" s="64">
        <v>0</v>
      </c>
      <c r="P106" s="65">
        <v>0</v>
      </c>
    </row>
    <row r="107" spans="1:16" ht="29.25" customHeight="1" thickBot="1">
      <c r="A107" s="60" t="s">
        <v>157</v>
      </c>
      <c r="B107" s="466" t="s">
        <v>158</v>
      </c>
      <c r="C107" s="467"/>
      <c r="D107" s="468"/>
      <c r="E107" s="31"/>
      <c r="F107" s="31"/>
      <c r="G107" s="74"/>
      <c r="H107" s="74"/>
      <c r="I107" s="74"/>
      <c r="J107" s="74"/>
      <c r="K107" s="94">
        <f t="shared" si="12"/>
        <v>0</v>
      </c>
      <c r="L107" s="33">
        <f>0+K107</f>
        <v>0</v>
      </c>
      <c r="M107" s="34">
        <f t="shared" si="11"/>
        <v>0</v>
      </c>
      <c r="N107" s="35">
        <f t="shared" si="11"/>
        <v>0</v>
      </c>
      <c r="O107" s="64">
        <v>0</v>
      </c>
      <c r="P107" s="65">
        <v>0</v>
      </c>
    </row>
    <row r="108" spans="1:16" ht="15.75" thickBot="1">
      <c r="A108" s="60" t="s">
        <v>159</v>
      </c>
      <c r="B108" s="420" t="s">
        <v>160</v>
      </c>
      <c r="C108" s="421"/>
      <c r="D108" s="422"/>
      <c r="E108" s="31"/>
      <c r="F108" s="31"/>
      <c r="G108" s="74"/>
      <c r="H108" s="74"/>
      <c r="I108" s="74"/>
      <c r="J108" s="74"/>
      <c r="K108" s="94">
        <f t="shared" si="12"/>
        <v>0</v>
      </c>
      <c r="L108" s="33">
        <f>0+K108</f>
        <v>0</v>
      </c>
      <c r="M108" s="34">
        <f t="shared" si="11"/>
        <v>0</v>
      </c>
      <c r="N108" s="35">
        <f t="shared" si="11"/>
        <v>0</v>
      </c>
      <c r="O108" s="64">
        <v>0</v>
      </c>
      <c r="P108" s="65">
        <v>0</v>
      </c>
    </row>
    <row r="109" spans="1:18" ht="33.75" customHeight="1" thickBot="1">
      <c r="A109" s="60" t="s">
        <v>161</v>
      </c>
      <c r="B109" s="420" t="s">
        <v>162</v>
      </c>
      <c r="C109" s="421"/>
      <c r="D109" s="422"/>
      <c r="E109" s="31"/>
      <c r="F109" s="31"/>
      <c r="G109" s="74"/>
      <c r="H109" s="74"/>
      <c r="I109" s="74"/>
      <c r="J109" s="74"/>
      <c r="K109" s="94">
        <f t="shared" si="12"/>
        <v>0</v>
      </c>
      <c r="L109" s="33">
        <f>0+K109</f>
        <v>0</v>
      </c>
      <c r="M109" s="34">
        <f t="shared" si="11"/>
        <v>0</v>
      </c>
      <c r="N109" s="35">
        <f t="shared" si="11"/>
        <v>0</v>
      </c>
      <c r="O109" s="64">
        <v>0</v>
      </c>
      <c r="P109" s="65">
        <v>0</v>
      </c>
      <c r="R109" s="96"/>
    </row>
    <row r="110" spans="1:16" ht="30" customHeight="1" thickBot="1">
      <c r="A110" s="60" t="s">
        <v>163</v>
      </c>
      <c r="B110" s="466" t="s">
        <v>164</v>
      </c>
      <c r="C110" s="467"/>
      <c r="D110" s="468"/>
      <c r="E110" s="31"/>
      <c r="F110" s="31"/>
      <c r="G110" s="74"/>
      <c r="H110" s="74"/>
      <c r="I110" s="74"/>
      <c r="J110" s="74"/>
      <c r="K110" s="94">
        <f t="shared" si="12"/>
        <v>0</v>
      </c>
      <c r="L110" s="33">
        <f>0+K110</f>
        <v>0</v>
      </c>
      <c r="M110" s="34">
        <f t="shared" si="11"/>
        <v>0</v>
      </c>
      <c r="N110" s="35">
        <f t="shared" si="11"/>
        <v>0</v>
      </c>
      <c r="O110" s="64">
        <v>0</v>
      </c>
      <c r="P110" s="65">
        <v>0</v>
      </c>
    </row>
    <row r="111" spans="1:16" ht="27.75" customHeight="1" thickBot="1">
      <c r="A111" s="60" t="s">
        <v>165</v>
      </c>
      <c r="B111" s="420" t="s">
        <v>166</v>
      </c>
      <c r="C111" s="421"/>
      <c r="D111" s="422"/>
      <c r="E111" s="31"/>
      <c r="F111" s="31"/>
      <c r="G111" s="74"/>
      <c r="H111" s="74"/>
      <c r="I111" s="74"/>
      <c r="J111" s="74"/>
      <c r="K111" s="94">
        <f t="shared" si="12"/>
        <v>0</v>
      </c>
      <c r="L111" s="33">
        <f>0+K111</f>
        <v>0</v>
      </c>
      <c r="M111" s="34">
        <f t="shared" si="11"/>
        <v>0</v>
      </c>
      <c r="N111" s="35">
        <f t="shared" si="11"/>
        <v>0</v>
      </c>
      <c r="O111" s="64">
        <v>0</v>
      </c>
      <c r="P111" s="65">
        <v>0</v>
      </c>
    </row>
    <row r="112" spans="1:18" ht="21" customHeight="1" thickBot="1">
      <c r="A112" s="60" t="s">
        <v>167</v>
      </c>
      <c r="B112" s="420" t="s">
        <v>168</v>
      </c>
      <c r="C112" s="421"/>
      <c r="D112" s="422"/>
      <c r="E112" s="31"/>
      <c r="F112" s="31"/>
      <c r="G112" s="74"/>
      <c r="H112" s="74"/>
      <c r="I112" s="74"/>
      <c r="J112" s="74"/>
      <c r="K112" s="94">
        <f t="shared" si="12"/>
        <v>0</v>
      </c>
      <c r="L112" s="33">
        <f>35790+K112</f>
        <v>35790</v>
      </c>
      <c r="M112" s="34">
        <f t="shared" si="11"/>
        <v>0</v>
      </c>
      <c r="N112" s="35">
        <f t="shared" si="11"/>
        <v>-35790</v>
      </c>
      <c r="O112" s="64">
        <v>0</v>
      </c>
      <c r="P112" s="65">
        <v>0</v>
      </c>
      <c r="R112" s="95"/>
    </row>
    <row r="113" spans="1:16" ht="45.75" customHeight="1" thickBot="1">
      <c r="A113" s="60" t="s">
        <v>169</v>
      </c>
      <c r="B113" s="420" t="s">
        <v>170</v>
      </c>
      <c r="C113" s="421"/>
      <c r="D113" s="422"/>
      <c r="E113" s="31">
        <v>1000</v>
      </c>
      <c r="F113" s="31">
        <f>7000+E113</f>
        <v>8000</v>
      </c>
      <c r="G113" s="74">
        <v>1085.45</v>
      </c>
      <c r="H113" s="74"/>
      <c r="I113" s="74"/>
      <c r="J113" s="74"/>
      <c r="K113" s="94">
        <f t="shared" si="12"/>
        <v>1085.45</v>
      </c>
      <c r="L113" s="33">
        <f>30480.49+K113</f>
        <v>31565.940000000002</v>
      </c>
      <c r="M113" s="34">
        <f>E113-K113</f>
        <v>-85.45000000000005</v>
      </c>
      <c r="N113" s="35">
        <f t="shared" si="11"/>
        <v>-23565.940000000002</v>
      </c>
      <c r="O113" s="64">
        <v>0</v>
      </c>
      <c r="P113" s="65">
        <v>0</v>
      </c>
    </row>
    <row r="114" spans="1:16" ht="29.25" customHeight="1" thickBot="1">
      <c r="A114" s="60" t="s">
        <v>171</v>
      </c>
      <c r="B114" s="420" t="s">
        <v>172</v>
      </c>
      <c r="C114" s="421"/>
      <c r="D114" s="422"/>
      <c r="E114" s="31"/>
      <c r="F114" s="31">
        <f>164000+E114</f>
        <v>164000</v>
      </c>
      <c r="G114" s="74"/>
      <c r="H114" s="74"/>
      <c r="I114" s="74"/>
      <c r="J114" s="74"/>
      <c r="K114" s="94">
        <f t="shared" si="12"/>
        <v>0</v>
      </c>
      <c r="L114" s="33">
        <f>0+K114</f>
        <v>0</v>
      </c>
      <c r="M114" s="34">
        <f t="shared" si="11"/>
        <v>0</v>
      </c>
      <c r="N114" s="35">
        <f t="shared" si="11"/>
        <v>164000</v>
      </c>
      <c r="O114" s="64">
        <v>0</v>
      </c>
      <c r="P114" s="65">
        <v>0</v>
      </c>
    </row>
    <row r="115" spans="1:16" ht="29.25" customHeight="1" thickBot="1">
      <c r="A115" s="60" t="s">
        <v>173</v>
      </c>
      <c r="B115" s="420" t="s">
        <v>174</v>
      </c>
      <c r="C115" s="421"/>
      <c r="D115" s="422"/>
      <c r="E115" s="31"/>
      <c r="F115" s="31"/>
      <c r="G115" s="74"/>
      <c r="H115" s="74"/>
      <c r="I115" s="74"/>
      <c r="J115" s="74"/>
      <c r="K115" s="94">
        <f t="shared" si="12"/>
        <v>0</v>
      </c>
      <c r="L115" s="33">
        <f>0+K115</f>
        <v>0</v>
      </c>
      <c r="M115" s="34">
        <f t="shared" si="11"/>
        <v>0</v>
      </c>
      <c r="N115" s="35">
        <f t="shared" si="11"/>
        <v>0</v>
      </c>
      <c r="O115" s="64">
        <v>0</v>
      </c>
      <c r="P115" s="65">
        <v>0</v>
      </c>
    </row>
    <row r="116" spans="1:16" ht="45" customHeight="1" thickBot="1">
      <c r="A116" s="60"/>
      <c r="B116" s="420" t="s">
        <v>175</v>
      </c>
      <c r="C116" s="421"/>
      <c r="D116" s="422"/>
      <c r="E116" s="31"/>
      <c r="F116" s="31"/>
      <c r="G116" s="74"/>
      <c r="H116" s="74"/>
      <c r="I116" s="74"/>
      <c r="J116" s="74"/>
      <c r="K116" s="94">
        <f>I116</f>
        <v>0</v>
      </c>
      <c r="L116" s="33">
        <f>0+K116</f>
        <v>0</v>
      </c>
      <c r="M116" s="34">
        <f t="shared" si="11"/>
        <v>0</v>
      </c>
      <c r="N116" s="35">
        <f t="shared" si="11"/>
        <v>0</v>
      </c>
      <c r="O116" s="64">
        <v>0</v>
      </c>
      <c r="P116" s="65">
        <v>0</v>
      </c>
    </row>
    <row r="117" spans="1:16" ht="33.75" customHeight="1" thickBot="1">
      <c r="A117" s="60" t="s">
        <v>176</v>
      </c>
      <c r="B117" s="420" t="s">
        <v>177</v>
      </c>
      <c r="C117" s="421"/>
      <c r="D117" s="422"/>
      <c r="E117" s="31"/>
      <c r="F117" s="31"/>
      <c r="G117" s="74"/>
      <c r="H117" s="74"/>
      <c r="I117" s="74"/>
      <c r="J117" s="74"/>
      <c r="K117" s="94">
        <f>G117</f>
        <v>0</v>
      </c>
      <c r="L117" s="33">
        <f>1356.68+K117</f>
        <v>1356.68</v>
      </c>
      <c r="M117" s="34">
        <f t="shared" si="11"/>
        <v>0</v>
      </c>
      <c r="N117" s="35">
        <f t="shared" si="11"/>
        <v>-1356.68</v>
      </c>
      <c r="O117" s="64">
        <v>0</v>
      </c>
      <c r="P117" s="65">
        <v>0</v>
      </c>
    </row>
    <row r="118" spans="1:18" ht="34.5" customHeight="1" thickBot="1">
      <c r="A118" s="60" t="s">
        <v>178</v>
      </c>
      <c r="B118" s="463" t="s">
        <v>179</v>
      </c>
      <c r="C118" s="464"/>
      <c r="D118" s="465"/>
      <c r="E118" s="31"/>
      <c r="F118" s="31"/>
      <c r="G118" s="74"/>
      <c r="H118" s="74"/>
      <c r="I118" s="74"/>
      <c r="J118" s="74"/>
      <c r="K118" s="94">
        <f>G118</f>
        <v>0</v>
      </c>
      <c r="L118" s="33">
        <f>6546+K118</f>
        <v>6546</v>
      </c>
      <c r="M118" s="34">
        <f t="shared" si="11"/>
        <v>0</v>
      </c>
      <c r="N118" s="35">
        <f t="shared" si="11"/>
        <v>-6546</v>
      </c>
      <c r="O118" s="64">
        <v>0</v>
      </c>
      <c r="P118" s="65">
        <v>0</v>
      </c>
      <c r="R118" s="96">
        <f>F130+F128+F127+F118+F114+F113+F112+F106+F105</f>
        <v>529200</v>
      </c>
    </row>
    <row r="119" spans="1:16" ht="28.5" customHeight="1" thickBot="1">
      <c r="A119" s="97" t="s">
        <v>180</v>
      </c>
      <c r="B119" s="420" t="s">
        <v>181</v>
      </c>
      <c r="C119" s="421"/>
      <c r="D119" s="422"/>
      <c r="E119" s="31">
        <v>1200</v>
      </c>
      <c r="F119" s="31">
        <f>6700+E119</f>
        <v>7900</v>
      </c>
      <c r="G119" s="74">
        <v>1600</v>
      </c>
      <c r="H119" s="74"/>
      <c r="I119" s="74"/>
      <c r="J119" s="74"/>
      <c r="K119" s="94">
        <f t="shared" si="12"/>
        <v>1600</v>
      </c>
      <c r="L119" s="33">
        <f>11850+K119</f>
        <v>13450</v>
      </c>
      <c r="M119" s="34">
        <f t="shared" si="11"/>
        <v>-400</v>
      </c>
      <c r="N119" s="35">
        <f t="shared" si="11"/>
        <v>-5550</v>
      </c>
      <c r="O119" s="64">
        <v>0</v>
      </c>
      <c r="P119" s="65">
        <v>0</v>
      </c>
    </row>
    <row r="120" spans="1:16" ht="15" customHeight="1" thickBot="1">
      <c r="A120" s="98"/>
      <c r="B120" s="396" t="s">
        <v>43</v>
      </c>
      <c r="C120" s="396"/>
      <c r="D120" s="396"/>
      <c r="E120" s="396"/>
      <c r="F120" s="396"/>
      <c r="G120" s="396"/>
      <c r="H120" s="396"/>
      <c r="I120" s="396"/>
      <c r="J120" s="396"/>
      <c r="K120" s="396"/>
      <c r="L120" s="396"/>
      <c r="M120" s="396"/>
      <c r="N120" s="396"/>
      <c r="O120" s="396"/>
      <c r="P120" s="397"/>
    </row>
    <row r="121" spans="1:16" ht="0.75" customHeight="1" hidden="1" thickBot="1">
      <c r="A121" s="99"/>
      <c r="B121" s="399"/>
      <c r="C121" s="399"/>
      <c r="D121" s="399"/>
      <c r="E121" s="399"/>
      <c r="F121" s="399"/>
      <c r="G121" s="399"/>
      <c r="H121" s="399"/>
      <c r="I121" s="399"/>
      <c r="J121" s="399"/>
      <c r="K121" s="399"/>
      <c r="L121" s="399"/>
      <c r="M121" s="399"/>
      <c r="N121" s="399"/>
      <c r="O121" s="399"/>
      <c r="P121" s="400"/>
    </row>
    <row r="122" spans="1:16" ht="15.75" thickBot="1">
      <c r="A122" s="100"/>
      <c r="B122" s="471" t="s">
        <v>14</v>
      </c>
      <c r="C122" s="472"/>
      <c r="D122" s="473"/>
      <c r="E122" s="477" t="s">
        <v>24</v>
      </c>
      <c r="F122" s="479" t="s">
        <v>25</v>
      </c>
      <c r="G122" s="481" t="s">
        <v>44</v>
      </c>
      <c r="H122" s="482"/>
      <c r="I122" s="482"/>
      <c r="J122" s="482"/>
      <c r="K122" s="483"/>
      <c r="L122" s="469" t="s">
        <v>16</v>
      </c>
      <c r="M122" s="469" t="s">
        <v>17</v>
      </c>
      <c r="N122" s="469" t="s">
        <v>18</v>
      </c>
      <c r="O122" s="469" t="s">
        <v>19</v>
      </c>
      <c r="P122" s="469" t="s">
        <v>20</v>
      </c>
    </row>
    <row r="123" spans="1:16" ht="58.5" customHeight="1" thickBot="1">
      <c r="A123" s="273"/>
      <c r="B123" s="474"/>
      <c r="C123" s="475"/>
      <c r="D123" s="476"/>
      <c r="E123" s="478"/>
      <c r="F123" s="480"/>
      <c r="G123" s="102" t="s">
        <v>45</v>
      </c>
      <c r="H123" s="102" t="s">
        <v>46</v>
      </c>
      <c r="I123" s="102" t="s">
        <v>47</v>
      </c>
      <c r="J123" s="103" t="s">
        <v>48</v>
      </c>
      <c r="K123" s="104" t="s">
        <v>27</v>
      </c>
      <c r="L123" s="470"/>
      <c r="M123" s="470"/>
      <c r="N123" s="470"/>
      <c r="O123" s="470"/>
      <c r="P123" s="470"/>
    </row>
    <row r="124" spans="1:16" ht="15.75" thickBot="1">
      <c r="A124" s="105"/>
      <c r="B124" s="342">
        <v>1</v>
      </c>
      <c r="C124" s="343"/>
      <c r="D124" s="344"/>
      <c r="E124" s="17" t="s">
        <v>22</v>
      </c>
      <c r="F124" s="270">
        <v>3</v>
      </c>
      <c r="G124" s="270">
        <v>4</v>
      </c>
      <c r="H124" s="270">
        <v>5</v>
      </c>
      <c r="I124" s="7">
        <v>6</v>
      </c>
      <c r="J124" s="7">
        <v>7</v>
      </c>
      <c r="K124" s="48">
        <v>8</v>
      </c>
      <c r="L124" s="267">
        <v>9</v>
      </c>
      <c r="M124" s="7">
        <v>10</v>
      </c>
      <c r="N124" s="267">
        <v>11</v>
      </c>
      <c r="O124" s="7">
        <v>12</v>
      </c>
      <c r="P124" s="267">
        <v>13</v>
      </c>
    </row>
    <row r="125" spans="1:16" ht="22.5" customHeight="1" thickBot="1">
      <c r="A125" s="106" t="s">
        <v>182</v>
      </c>
      <c r="B125" s="411" t="s">
        <v>183</v>
      </c>
      <c r="C125" s="412"/>
      <c r="D125" s="413"/>
      <c r="E125" s="31"/>
      <c r="F125" s="31"/>
      <c r="G125" s="74"/>
      <c r="H125" s="74"/>
      <c r="I125" s="74"/>
      <c r="J125" s="74"/>
      <c r="K125" s="94">
        <f aca="true" t="shared" si="13" ref="K125:K139">G125</f>
        <v>0</v>
      </c>
      <c r="L125" s="33">
        <f>0+K125</f>
        <v>0</v>
      </c>
      <c r="M125" s="34">
        <f aca="true" t="shared" si="14" ref="M125:N140">E125-K125</f>
        <v>0</v>
      </c>
      <c r="N125" s="35">
        <f t="shared" si="14"/>
        <v>0</v>
      </c>
      <c r="O125" s="64">
        <v>0</v>
      </c>
      <c r="P125" s="65">
        <v>0</v>
      </c>
    </row>
    <row r="126" spans="1:16" ht="41.25" thickBot="1">
      <c r="A126" s="107" t="s">
        <v>184</v>
      </c>
      <c r="B126" s="426" t="s">
        <v>185</v>
      </c>
      <c r="C126" s="427"/>
      <c r="D126" s="428"/>
      <c r="E126" s="31"/>
      <c r="F126" s="31"/>
      <c r="G126" s="74"/>
      <c r="H126" s="74"/>
      <c r="I126" s="74"/>
      <c r="J126" s="74"/>
      <c r="K126" s="94">
        <f t="shared" si="13"/>
        <v>0</v>
      </c>
      <c r="L126" s="33">
        <f>0+K126</f>
        <v>0</v>
      </c>
      <c r="M126" s="34">
        <f t="shared" si="14"/>
        <v>0</v>
      </c>
      <c r="N126" s="35">
        <f t="shared" si="14"/>
        <v>0</v>
      </c>
      <c r="O126" s="64">
        <v>0</v>
      </c>
      <c r="P126" s="65">
        <v>0</v>
      </c>
    </row>
    <row r="127" spans="1:16" ht="32.25" customHeight="1" thickBot="1">
      <c r="A127" s="108" t="s">
        <v>186</v>
      </c>
      <c r="B127" s="426" t="s">
        <v>187</v>
      </c>
      <c r="C127" s="427"/>
      <c r="D127" s="428"/>
      <c r="E127" s="31"/>
      <c r="F127" s="31">
        <f>300000+E127</f>
        <v>300000</v>
      </c>
      <c r="G127" s="74">
        <v>5361.64</v>
      </c>
      <c r="H127" s="74"/>
      <c r="I127" s="74"/>
      <c r="J127" s="74"/>
      <c r="K127" s="94">
        <f>I127+G127</f>
        <v>5361.64</v>
      </c>
      <c r="L127" s="33">
        <f>413333.71+K127</f>
        <v>418695.35000000003</v>
      </c>
      <c r="M127" s="34">
        <f t="shared" si="14"/>
        <v>-5361.64</v>
      </c>
      <c r="N127" s="35">
        <f t="shared" si="14"/>
        <v>-118695.35000000003</v>
      </c>
      <c r="O127" s="64">
        <v>0</v>
      </c>
      <c r="P127" s="65">
        <v>0</v>
      </c>
    </row>
    <row r="128" spans="1:16" ht="43.5" customHeight="1" thickBot="1">
      <c r="A128" s="108" t="s">
        <v>188</v>
      </c>
      <c r="B128" s="426" t="s">
        <v>189</v>
      </c>
      <c r="C128" s="427"/>
      <c r="D128" s="428"/>
      <c r="E128" s="31"/>
      <c r="F128" s="31">
        <f>0+E128</f>
        <v>0</v>
      </c>
      <c r="G128" s="74"/>
      <c r="H128" s="74"/>
      <c r="I128" s="74"/>
      <c r="J128" s="74"/>
      <c r="K128" s="94">
        <f>H128</f>
        <v>0</v>
      </c>
      <c r="L128" s="33">
        <f>0+K128</f>
        <v>0</v>
      </c>
      <c r="M128" s="34">
        <f t="shared" si="14"/>
        <v>0</v>
      </c>
      <c r="N128" s="35">
        <f t="shared" si="14"/>
        <v>0</v>
      </c>
      <c r="O128" s="64">
        <v>0</v>
      </c>
      <c r="P128" s="65">
        <v>0</v>
      </c>
    </row>
    <row r="129" spans="1:16" ht="30" customHeight="1" thickBot="1">
      <c r="A129" s="109" t="s">
        <v>190</v>
      </c>
      <c r="B129" s="426" t="s">
        <v>191</v>
      </c>
      <c r="C129" s="427"/>
      <c r="D129" s="428"/>
      <c r="E129" s="31"/>
      <c r="F129" s="31"/>
      <c r="G129" s="74">
        <v>2550</v>
      </c>
      <c r="H129" s="74"/>
      <c r="I129" s="74"/>
      <c r="J129" s="74"/>
      <c r="K129" s="94">
        <f>G129</f>
        <v>2550</v>
      </c>
      <c r="L129" s="33">
        <f>3020+K129</f>
        <v>5570</v>
      </c>
      <c r="M129" s="34">
        <f t="shared" si="14"/>
        <v>-2550</v>
      </c>
      <c r="N129" s="35">
        <f t="shared" si="14"/>
        <v>-5570</v>
      </c>
      <c r="O129" s="64">
        <v>0</v>
      </c>
      <c r="P129" s="65">
        <v>0</v>
      </c>
    </row>
    <row r="130" spans="1:16" ht="41.25" customHeight="1" thickBot="1">
      <c r="A130" s="109" t="s">
        <v>192</v>
      </c>
      <c r="B130" s="494" t="s">
        <v>193</v>
      </c>
      <c r="C130" s="495"/>
      <c r="D130" s="496"/>
      <c r="E130" s="31"/>
      <c r="F130" s="31">
        <f>6000+E130</f>
        <v>6000</v>
      </c>
      <c r="G130" s="74"/>
      <c r="H130" s="74"/>
      <c r="I130" s="74"/>
      <c r="J130" s="74"/>
      <c r="K130" s="94">
        <f>G130+I130</f>
        <v>0</v>
      </c>
      <c r="L130" s="33">
        <f>0+K130</f>
        <v>0</v>
      </c>
      <c r="M130" s="34">
        <f t="shared" si="14"/>
        <v>0</v>
      </c>
      <c r="N130" s="35">
        <f t="shared" si="14"/>
        <v>6000</v>
      </c>
      <c r="O130" s="64">
        <v>0</v>
      </c>
      <c r="P130" s="65">
        <v>0</v>
      </c>
    </row>
    <row r="131" spans="1:19" ht="30" customHeight="1" thickBot="1">
      <c r="A131" s="259">
        <v>15</v>
      </c>
      <c r="B131" s="418" t="s">
        <v>194</v>
      </c>
      <c r="C131" s="418"/>
      <c r="D131" s="419"/>
      <c r="E131" s="73">
        <f>E132+E133</f>
        <v>0</v>
      </c>
      <c r="F131" s="73">
        <f>F132</f>
        <v>130000</v>
      </c>
      <c r="G131" s="75">
        <f>G132+G133</f>
        <v>0</v>
      </c>
      <c r="H131" s="74"/>
      <c r="I131" s="74"/>
      <c r="J131" s="74"/>
      <c r="K131" s="93">
        <f t="shared" si="13"/>
        <v>0</v>
      </c>
      <c r="L131" s="55">
        <f>L132+L133</f>
        <v>18050.82</v>
      </c>
      <c r="M131" s="56">
        <f t="shared" si="14"/>
        <v>0</v>
      </c>
      <c r="N131" s="70">
        <f t="shared" si="14"/>
        <v>111949.18</v>
      </c>
      <c r="O131" s="58">
        <v>0</v>
      </c>
      <c r="P131" s="59">
        <v>0</v>
      </c>
      <c r="Q131" s="1"/>
      <c r="R131" s="1"/>
      <c r="S131" s="1"/>
    </row>
    <row r="132" spans="1:19" ht="29.25" customHeight="1" thickBot="1">
      <c r="A132" s="60" t="s">
        <v>195</v>
      </c>
      <c r="B132" s="405" t="s">
        <v>53</v>
      </c>
      <c r="C132" s="406"/>
      <c r="D132" s="407"/>
      <c r="E132" s="155"/>
      <c r="F132" s="31">
        <f>130000+E132</f>
        <v>130000</v>
      </c>
      <c r="G132" s="74"/>
      <c r="H132" s="74"/>
      <c r="I132" s="74"/>
      <c r="J132" s="74"/>
      <c r="K132" s="94">
        <f t="shared" si="13"/>
        <v>0</v>
      </c>
      <c r="L132" s="33">
        <f>18050.82+K132</f>
        <v>18050.82</v>
      </c>
      <c r="M132" s="34">
        <f t="shared" si="14"/>
        <v>0</v>
      </c>
      <c r="N132" s="35">
        <f t="shared" si="14"/>
        <v>111949.18</v>
      </c>
      <c r="O132" s="64">
        <v>0</v>
      </c>
      <c r="P132" s="65">
        <v>0</v>
      </c>
      <c r="Q132" s="1"/>
      <c r="R132" s="1"/>
      <c r="S132" s="1"/>
    </row>
    <row r="133" spans="1:19" ht="32.25" customHeight="1" thickBot="1">
      <c r="A133" s="60" t="s">
        <v>196</v>
      </c>
      <c r="B133" s="405" t="s">
        <v>104</v>
      </c>
      <c r="C133" s="406"/>
      <c r="D133" s="407"/>
      <c r="E133" s="61"/>
      <c r="F133" s="31"/>
      <c r="G133" s="74"/>
      <c r="H133" s="74"/>
      <c r="I133" s="74"/>
      <c r="J133" s="74"/>
      <c r="K133" s="94">
        <f t="shared" si="13"/>
        <v>0</v>
      </c>
      <c r="L133" s="33">
        <f>0+K133</f>
        <v>0</v>
      </c>
      <c r="M133" s="34">
        <f t="shared" si="14"/>
        <v>0</v>
      </c>
      <c r="N133" s="35">
        <f t="shared" si="14"/>
        <v>0</v>
      </c>
      <c r="O133" s="64">
        <v>0</v>
      </c>
      <c r="P133" s="65">
        <v>0</v>
      </c>
      <c r="Q133" s="1"/>
      <c r="R133" s="1"/>
      <c r="S133" s="1"/>
    </row>
    <row r="134" spans="1:19" ht="30" customHeight="1" thickBot="1">
      <c r="A134" s="260">
        <v>16</v>
      </c>
      <c r="B134" s="418" t="s">
        <v>197</v>
      </c>
      <c r="C134" s="418"/>
      <c r="D134" s="419"/>
      <c r="E134" s="31">
        <v>0</v>
      </c>
      <c r="F134" s="73">
        <f>F135</f>
        <v>0</v>
      </c>
      <c r="G134" s="75">
        <f>G135+G136</f>
        <v>0</v>
      </c>
      <c r="H134" s="74"/>
      <c r="I134" s="74"/>
      <c r="J134" s="74"/>
      <c r="K134" s="93">
        <f t="shared" si="13"/>
        <v>0</v>
      </c>
      <c r="L134" s="55">
        <f>0+K134</f>
        <v>0</v>
      </c>
      <c r="M134" s="56">
        <f t="shared" si="14"/>
        <v>0</v>
      </c>
      <c r="N134" s="70">
        <f t="shared" si="14"/>
        <v>0</v>
      </c>
      <c r="O134" s="58">
        <v>0</v>
      </c>
      <c r="P134" s="59">
        <v>0</v>
      </c>
      <c r="Q134" s="1"/>
      <c r="R134" s="1"/>
      <c r="S134" s="1"/>
    </row>
    <row r="135" spans="1:19" ht="30.75" customHeight="1" thickBot="1">
      <c r="A135" s="60" t="s">
        <v>198</v>
      </c>
      <c r="B135" s="405" t="s">
        <v>53</v>
      </c>
      <c r="C135" s="406"/>
      <c r="D135" s="407"/>
      <c r="E135" s="61"/>
      <c r="F135" s="31">
        <v>0</v>
      </c>
      <c r="G135" s="74"/>
      <c r="H135" s="74"/>
      <c r="I135" s="74"/>
      <c r="J135" s="74"/>
      <c r="K135" s="94">
        <f t="shared" si="13"/>
        <v>0</v>
      </c>
      <c r="L135" s="33">
        <f>0+K135</f>
        <v>0</v>
      </c>
      <c r="M135" s="34">
        <f t="shared" si="14"/>
        <v>0</v>
      </c>
      <c r="N135" s="35">
        <f t="shared" si="14"/>
        <v>0</v>
      </c>
      <c r="O135" s="64">
        <v>0</v>
      </c>
      <c r="P135" s="65">
        <v>0</v>
      </c>
      <c r="Q135" s="1"/>
      <c r="R135" s="1"/>
      <c r="S135" s="1"/>
    </row>
    <row r="136" spans="1:19" ht="41.25" customHeight="1" thickBot="1">
      <c r="A136" s="60" t="s">
        <v>199</v>
      </c>
      <c r="B136" s="405" t="s">
        <v>104</v>
      </c>
      <c r="C136" s="406"/>
      <c r="D136" s="407"/>
      <c r="E136" s="61"/>
      <c r="F136" s="31"/>
      <c r="G136" s="74"/>
      <c r="H136" s="74"/>
      <c r="I136" s="74"/>
      <c r="J136" s="74"/>
      <c r="K136" s="94">
        <f t="shared" si="13"/>
        <v>0</v>
      </c>
      <c r="L136" s="33">
        <f>0+K136</f>
        <v>0</v>
      </c>
      <c r="M136" s="34">
        <f t="shared" si="14"/>
        <v>0</v>
      </c>
      <c r="N136" s="35">
        <f t="shared" si="14"/>
        <v>0</v>
      </c>
      <c r="O136" s="64">
        <v>0</v>
      </c>
      <c r="P136" s="65">
        <v>0</v>
      </c>
      <c r="Q136" s="1"/>
      <c r="R136" s="1"/>
      <c r="S136" s="1"/>
    </row>
    <row r="137" spans="1:19" ht="52.5" customHeight="1" thickBot="1">
      <c r="A137" s="259">
        <v>17</v>
      </c>
      <c r="B137" s="418" t="s">
        <v>200</v>
      </c>
      <c r="C137" s="418"/>
      <c r="D137" s="419"/>
      <c r="E137" s="73">
        <v>0</v>
      </c>
      <c r="F137" s="73">
        <f>F138</f>
        <v>5504</v>
      </c>
      <c r="G137" s="75">
        <f>G138+G139</f>
        <v>0</v>
      </c>
      <c r="H137" s="75"/>
      <c r="I137" s="75"/>
      <c r="J137" s="75"/>
      <c r="K137" s="93">
        <f t="shared" si="13"/>
        <v>0</v>
      </c>
      <c r="L137" s="55">
        <f>L138</f>
        <v>23504</v>
      </c>
      <c r="M137" s="56">
        <f t="shared" si="14"/>
        <v>0</v>
      </c>
      <c r="N137" s="70">
        <f t="shared" si="14"/>
        <v>-18000</v>
      </c>
      <c r="O137" s="58">
        <v>0</v>
      </c>
      <c r="P137" s="59">
        <v>0</v>
      </c>
      <c r="Q137" s="1"/>
      <c r="R137" s="1"/>
      <c r="S137" s="1"/>
    </row>
    <row r="138" spans="1:19" ht="31.5" customHeight="1" thickBot="1">
      <c r="A138" s="60" t="s">
        <v>201</v>
      </c>
      <c r="B138" s="405" t="s">
        <v>53</v>
      </c>
      <c r="C138" s="406"/>
      <c r="D138" s="407"/>
      <c r="E138" s="61"/>
      <c r="F138" s="31">
        <f>5504+E138</f>
        <v>5504</v>
      </c>
      <c r="G138" s="74"/>
      <c r="H138" s="74"/>
      <c r="I138" s="74"/>
      <c r="J138" s="74"/>
      <c r="K138" s="94">
        <f t="shared" si="13"/>
        <v>0</v>
      </c>
      <c r="L138" s="33">
        <f>23504+K138</f>
        <v>23504</v>
      </c>
      <c r="M138" s="34">
        <f t="shared" si="14"/>
        <v>0</v>
      </c>
      <c r="N138" s="35">
        <f t="shared" si="14"/>
        <v>-18000</v>
      </c>
      <c r="O138" s="64">
        <v>0</v>
      </c>
      <c r="P138" s="65">
        <v>0</v>
      </c>
      <c r="Q138" s="1"/>
      <c r="R138" s="1"/>
      <c r="S138" s="1"/>
    </row>
    <row r="139" spans="1:19" ht="34.5" customHeight="1" thickBot="1">
      <c r="A139" s="60" t="s">
        <v>202</v>
      </c>
      <c r="B139" s="405" t="s">
        <v>104</v>
      </c>
      <c r="C139" s="406"/>
      <c r="D139" s="407"/>
      <c r="E139" s="61"/>
      <c r="F139" s="31"/>
      <c r="G139" s="74"/>
      <c r="H139" s="74"/>
      <c r="I139" s="74"/>
      <c r="J139" s="74"/>
      <c r="K139" s="94">
        <f t="shared" si="13"/>
        <v>0</v>
      </c>
      <c r="L139" s="33">
        <f>0+K139</f>
        <v>0</v>
      </c>
      <c r="M139" s="34">
        <f t="shared" si="14"/>
        <v>0</v>
      </c>
      <c r="N139" s="35">
        <f t="shared" si="14"/>
        <v>0</v>
      </c>
      <c r="O139" s="64">
        <v>0</v>
      </c>
      <c r="P139" s="65">
        <v>0</v>
      </c>
      <c r="Q139" s="1"/>
      <c r="R139" s="1"/>
      <c r="S139" s="1"/>
    </row>
    <row r="140" spans="1:19" ht="19.5" customHeight="1" thickBot="1">
      <c r="A140" s="110">
        <v>18</v>
      </c>
      <c r="B140" s="424" t="s">
        <v>42</v>
      </c>
      <c r="C140" s="424"/>
      <c r="D140" s="425"/>
      <c r="E140" s="31">
        <v>0</v>
      </c>
      <c r="F140" s="31"/>
      <c r="G140" s="74"/>
      <c r="H140" s="74"/>
      <c r="I140" s="74"/>
      <c r="J140" s="75">
        <v>184370</v>
      </c>
      <c r="K140" s="93">
        <f>J140</f>
        <v>184370</v>
      </c>
      <c r="L140" s="55">
        <f>855390.07+K140</f>
        <v>1039760.07</v>
      </c>
      <c r="M140" s="56">
        <f>E140-K140</f>
        <v>-184370</v>
      </c>
      <c r="N140" s="70">
        <f t="shared" si="14"/>
        <v>-1039760.07</v>
      </c>
      <c r="O140" s="58">
        <v>0</v>
      </c>
      <c r="P140" s="59">
        <v>0</v>
      </c>
      <c r="Q140" s="1"/>
      <c r="R140" s="1"/>
      <c r="S140" s="1"/>
    </row>
    <row r="141" spans="1:19" ht="60" customHeight="1" thickBot="1">
      <c r="A141" s="112"/>
      <c r="B141" s="488" t="s">
        <v>203</v>
      </c>
      <c r="C141" s="488"/>
      <c r="D141" s="488"/>
      <c r="E141" s="488"/>
      <c r="F141" s="113"/>
      <c r="G141" s="113" t="s">
        <v>4</v>
      </c>
      <c r="H141" s="263" t="s">
        <v>5</v>
      </c>
      <c r="I141" s="338" t="s">
        <v>6</v>
      </c>
      <c r="J141" s="339"/>
      <c r="K141" s="8" t="s">
        <v>11</v>
      </c>
      <c r="L141" s="7" t="s">
        <v>8</v>
      </c>
      <c r="M141" s="7" t="s">
        <v>9</v>
      </c>
      <c r="N141" s="115" t="s">
        <v>10</v>
      </c>
      <c r="O141" s="116"/>
      <c r="P141" s="266"/>
      <c r="Q141" s="1"/>
      <c r="R141" s="1"/>
      <c r="S141" s="1"/>
    </row>
    <row r="142" spans="1:19" ht="23.25" customHeight="1" thickBot="1">
      <c r="A142" s="118"/>
      <c r="B142" s="488" t="s">
        <v>12</v>
      </c>
      <c r="C142" s="488"/>
      <c r="D142" s="488"/>
      <c r="E142" s="489"/>
      <c r="F142" s="119"/>
      <c r="G142" s="119">
        <v>0</v>
      </c>
      <c r="H142" s="4">
        <v>0</v>
      </c>
      <c r="I142" s="330">
        <v>0</v>
      </c>
      <c r="J142" s="331"/>
      <c r="K142" s="120"/>
      <c r="L142" s="4">
        <v>0</v>
      </c>
      <c r="M142" s="264">
        <v>0</v>
      </c>
      <c r="N142" s="264">
        <v>0</v>
      </c>
      <c r="O142" s="4"/>
      <c r="P142" s="4">
        <v>0</v>
      </c>
      <c r="Q142" s="1"/>
      <c r="R142" s="80">
        <f>R143-942302.36</f>
        <v>-294856.91999999864</v>
      </c>
      <c r="S142" s="1"/>
    </row>
    <row r="143" spans="1:19" ht="27" customHeight="1" thickBot="1">
      <c r="A143" s="112"/>
      <c r="B143" s="488" t="s">
        <v>13</v>
      </c>
      <c r="C143" s="488"/>
      <c r="D143" s="488"/>
      <c r="E143" s="489"/>
      <c r="F143" s="4"/>
      <c r="G143" s="4">
        <f>F10+G17-G33-G37-G41-G46-G56-G66-G69-G73-G76-G80-G88-G101-G132-G135-G138-G82</f>
        <v>-35981.40000000002</v>
      </c>
      <c r="H143" s="4">
        <f>G18+H10-H30</f>
        <v>443795.1100000001</v>
      </c>
      <c r="I143" s="330">
        <f>I10+G19-I103-I67-I96-I77</f>
        <v>0</v>
      </c>
      <c r="J143" s="331"/>
      <c r="K143" s="120">
        <f>O10+G22-J55</f>
        <v>28199.209999999995</v>
      </c>
      <c r="L143" s="4">
        <f>L10+G23-J140</f>
        <v>211432.52000000002</v>
      </c>
      <c r="M143" s="264">
        <v>0</v>
      </c>
      <c r="N143" s="4">
        <v>0</v>
      </c>
      <c r="O143" s="121"/>
      <c r="P143" s="4">
        <f>SUM(G143:O143)</f>
        <v>647445.4400000002</v>
      </c>
      <c r="Q143" s="1"/>
      <c r="R143" s="80">
        <f>P5+L16-L30</f>
        <v>647445.4400000013</v>
      </c>
      <c r="S143" s="37"/>
    </row>
    <row r="144" spans="1:19" ht="21" customHeight="1" thickBot="1">
      <c r="A144" s="122"/>
      <c r="B144" s="323" t="s">
        <v>241</v>
      </c>
      <c r="C144" s="323"/>
      <c r="D144" s="323"/>
      <c r="E144" s="324"/>
      <c r="F144" s="325"/>
      <c r="G144" s="325"/>
      <c r="H144" s="325"/>
      <c r="I144" s="325"/>
      <c r="J144" s="325"/>
      <c r="K144" s="325"/>
      <c r="L144" s="325"/>
      <c r="M144" s="325"/>
      <c r="N144" s="484"/>
      <c r="O144" s="485"/>
      <c r="P144" s="123">
        <f>P143</f>
        <v>647445.4400000002</v>
      </c>
      <c r="Q144" s="1"/>
      <c r="R144" s="37">
        <f>P5+L16-L30</f>
        <v>647445.4400000013</v>
      </c>
      <c r="S144" s="37"/>
    </row>
    <row r="145" spans="1:19" ht="15">
      <c r="A145" s="1"/>
      <c r="B145" s="124"/>
      <c r="C145" s="124"/>
      <c r="D145" s="124"/>
      <c r="E145" s="124"/>
      <c r="F145" s="125"/>
      <c r="G145" s="125"/>
      <c r="H145" s="125"/>
      <c r="I145" s="125"/>
      <c r="J145" s="125"/>
      <c r="K145" s="126"/>
      <c r="L145" s="125"/>
      <c r="M145" s="125"/>
      <c r="N145" s="125"/>
      <c r="O145" s="127"/>
      <c r="P145" s="128"/>
      <c r="Q145" s="1"/>
      <c r="R145" s="37"/>
      <c r="S145" s="1"/>
    </row>
    <row r="146" spans="1:19" ht="15">
      <c r="A146" s="1"/>
      <c r="B146" s="486" t="s">
        <v>204</v>
      </c>
      <c r="C146" s="486"/>
      <c r="D146" s="486"/>
      <c r="E146" s="486"/>
      <c r="F146" s="486"/>
      <c r="G146" s="486"/>
      <c r="H146" s="486"/>
      <c r="I146" s="486"/>
      <c r="J146" s="486"/>
      <c r="K146" s="486"/>
      <c r="L146" s="486"/>
      <c r="M146" s="486"/>
      <c r="N146" s="486"/>
      <c r="O146" s="487" t="s">
        <v>205</v>
      </c>
      <c r="P146" s="487"/>
      <c r="Q146" s="1"/>
      <c r="R146" s="80"/>
      <c r="S146" s="37"/>
    </row>
    <row r="147" spans="1:19" ht="15">
      <c r="A147" s="1"/>
      <c r="B147" s="486" t="s">
        <v>206</v>
      </c>
      <c r="C147" s="486"/>
      <c r="D147" s="486"/>
      <c r="E147" s="486"/>
      <c r="F147" s="486"/>
      <c r="G147" s="486"/>
      <c r="H147" s="486"/>
      <c r="I147" s="486"/>
      <c r="J147" s="486"/>
      <c r="K147" s="486"/>
      <c r="L147" s="486"/>
      <c r="M147" s="486"/>
      <c r="N147" s="486"/>
      <c r="O147" s="486" t="s">
        <v>207</v>
      </c>
      <c r="P147" s="486"/>
      <c r="Q147" s="1"/>
      <c r="R147" s="1"/>
      <c r="S147" s="1"/>
    </row>
    <row r="148" spans="1:19" ht="15">
      <c r="A148" s="1"/>
      <c r="B148" s="261"/>
      <c r="C148" s="261"/>
      <c r="D148" s="261"/>
      <c r="E148" s="261"/>
      <c r="F148" s="261"/>
      <c r="G148" s="261"/>
      <c r="H148" s="261"/>
      <c r="I148" s="261"/>
      <c r="J148" s="130"/>
      <c r="K148" s="131"/>
      <c r="L148" s="130"/>
      <c r="M148" s="261"/>
      <c r="N148" s="261"/>
      <c r="O148" s="261"/>
      <c r="P148" s="130"/>
      <c r="Q148" s="1"/>
      <c r="R148" s="37"/>
      <c r="S148" s="1"/>
    </row>
    <row r="150" spans="1:19" ht="15">
      <c r="A150" s="1"/>
      <c r="B150" s="1"/>
      <c r="C150" s="1"/>
      <c r="D150" s="1"/>
      <c r="E150" s="1"/>
      <c r="F150" s="1"/>
      <c r="G150" s="1"/>
      <c r="H150" s="1"/>
      <c r="I150" s="132"/>
      <c r="J150" s="1"/>
      <c r="K150" s="1"/>
      <c r="L150" s="1"/>
      <c r="M150" s="1"/>
      <c r="N150" s="1"/>
      <c r="O150" s="1"/>
      <c r="P150" s="1"/>
      <c r="Q150" s="1"/>
      <c r="R150" s="37"/>
      <c r="S150" s="1"/>
    </row>
    <row r="151" spans="1:19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37"/>
      <c r="S151" s="1"/>
    </row>
    <row r="152" spans="1:19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7"/>
      <c r="O152" s="1"/>
      <c r="P152" s="1"/>
      <c r="Q152" s="1"/>
      <c r="R152" s="1"/>
      <c r="S152" s="1"/>
    </row>
    <row r="153" spans="12:16" ht="15">
      <c r="L153" s="1"/>
      <c r="M153" s="1"/>
      <c r="N153" s="37"/>
      <c r="O153" s="1"/>
      <c r="P153" s="37"/>
    </row>
    <row r="154" spans="12:16" ht="15">
      <c r="L154" s="1"/>
      <c r="M154" s="1"/>
      <c r="N154" s="133"/>
      <c r="O154" s="1"/>
      <c r="P154" s="37"/>
    </row>
    <row r="155" spans="12:16" ht="15">
      <c r="L155" s="37"/>
      <c r="M155" s="1"/>
      <c r="N155" s="1"/>
      <c r="O155" s="1"/>
      <c r="P155" s="1"/>
    </row>
    <row r="156" spans="12:16" ht="15">
      <c r="L156" s="37"/>
      <c r="M156" s="37"/>
      <c r="N156" s="1"/>
      <c r="O156" s="1"/>
      <c r="P156" s="1"/>
    </row>
  </sheetData>
  <sheetProtection/>
  <mergeCells count="201">
    <mergeCell ref="B146:E146"/>
    <mergeCell ref="F146:N146"/>
    <mergeCell ref="O146:P146"/>
    <mergeCell ref="B147:E147"/>
    <mergeCell ref="F147:N147"/>
    <mergeCell ref="O147:P147"/>
    <mergeCell ref="I141:J141"/>
    <mergeCell ref="B142:E142"/>
    <mergeCell ref="I142:J142"/>
    <mergeCell ref="B143:E143"/>
    <mergeCell ref="I143:J143"/>
    <mergeCell ref="B144:E144"/>
    <mergeCell ref="F144:O144"/>
    <mergeCell ref="B136:D136"/>
    <mergeCell ref="B137:D137"/>
    <mergeCell ref="B138:D138"/>
    <mergeCell ref="B139:D139"/>
    <mergeCell ref="B140:D140"/>
    <mergeCell ref="B141:E141"/>
    <mergeCell ref="B130:D130"/>
    <mergeCell ref="B131:D131"/>
    <mergeCell ref="B132:D132"/>
    <mergeCell ref="B133:D133"/>
    <mergeCell ref="B134:D134"/>
    <mergeCell ref="B135:D135"/>
    <mergeCell ref="B124:D124"/>
    <mergeCell ref="B125:D125"/>
    <mergeCell ref="B126:D126"/>
    <mergeCell ref="B127:D127"/>
    <mergeCell ref="B128:D128"/>
    <mergeCell ref="B129:D129"/>
    <mergeCell ref="B120:P121"/>
    <mergeCell ref="B122:D123"/>
    <mergeCell ref="E122:E123"/>
    <mergeCell ref="F122:F123"/>
    <mergeCell ref="G122:K122"/>
    <mergeCell ref="L122:L123"/>
    <mergeCell ref="M122:M123"/>
    <mergeCell ref="N122:N123"/>
    <mergeCell ref="O122:O123"/>
    <mergeCell ref="P122:P123"/>
    <mergeCell ref="B114:D114"/>
    <mergeCell ref="B115:D115"/>
    <mergeCell ref="B116:D116"/>
    <mergeCell ref="B117:D117"/>
    <mergeCell ref="B118:D118"/>
    <mergeCell ref="B119:D119"/>
    <mergeCell ref="B108:D108"/>
    <mergeCell ref="B109:D109"/>
    <mergeCell ref="B110:D110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96:D96"/>
    <mergeCell ref="B97:D97"/>
    <mergeCell ref="B98:D98"/>
    <mergeCell ref="B99:D99"/>
    <mergeCell ref="B100:D100"/>
    <mergeCell ref="B101:D101"/>
    <mergeCell ref="B90:D90"/>
    <mergeCell ref="B91:D91"/>
    <mergeCell ref="B92:D92"/>
    <mergeCell ref="B93:D93"/>
    <mergeCell ref="B94:D94"/>
    <mergeCell ref="B95:D95"/>
    <mergeCell ref="O84:O85"/>
    <mergeCell ref="P84:P85"/>
    <mergeCell ref="B86:D86"/>
    <mergeCell ref="B87:D87"/>
    <mergeCell ref="B88:D88"/>
    <mergeCell ref="B89:D89"/>
    <mergeCell ref="E84:E85"/>
    <mergeCell ref="F84:F85"/>
    <mergeCell ref="G84:K84"/>
    <mergeCell ref="L84:L85"/>
    <mergeCell ref="M84:M85"/>
    <mergeCell ref="N84:N85"/>
    <mergeCell ref="B80:D80"/>
    <mergeCell ref="B81:D81"/>
    <mergeCell ref="B82:D82"/>
    <mergeCell ref="B83:D83"/>
    <mergeCell ref="A84:A85"/>
    <mergeCell ref="B84:D85"/>
    <mergeCell ref="B74:D74"/>
    <mergeCell ref="B75:D75"/>
    <mergeCell ref="B76:D76"/>
    <mergeCell ref="B77:D77"/>
    <mergeCell ref="B78:D78"/>
    <mergeCell ref="B79:D79"/>
    <mergeCell ref="B68:D68"/>
    <mergeCell ref="B69:D69"/>
    <mergeCell ref="B70:D70"/>
    <mergeCell ref="B71:D71"/>
    <mergeCell ref="B72:D72"/>
    <mergeCell ref="B73:D73"/>
    <mergeCell ref="B62:D62"/>
    <mergeCell ref="B63:D63"/>
    <mergeCell ref="B64:D64"/>
    <mergeCell ref="B65:D65"/>
    <mergeCell ref="B66:D66"/>
    <mergeCell ref="B67:D67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3:D43"/>
    <mergeCell ref="B44:D44"/>
    <mergeCell ref="B45:D45"/>
    <mergeCell ref="B46:D46"/>
    <mergeCell ref="B47:D47"/>
    <mergeCell ref="B49:D49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M27:M28"/>
    <mergeCell ref="N27:N28"/>
    <mergeCell ref="O27:O28"/>
    <mergeCell ref="P27:P28"/>
    <mergeCell ref="B29:D29"/>
    <mergeCell ref="B30:D30"/>
    <mergeCell ref="B23:D23"/>
    <mergeCell ref="G23:J23"/>
    <mergeCell ref="A25:A26"/>
    <mergeCell ref="B25:P26"/>
    <mergeCell ref="A27:A28"/>
    <mergeCell ref="B27:D28"/>
    <mergeCell ref="E27:E28"/>
    <mergeCell ref="F27:F28"/>
    <mergeCell ref="G27:K27"/>
    <mergeCell ref="L27:L28"/>
    <mergeCell ref="B20:D20"/>
    <mergeCell ref="G20:J20"/>
    <mergeCell ref="B21:D21"/>
    <mergeCell ref="G21:J21"/>
    <mergeCell ref="B22:D22"/>
    <mergeCell ref="G22:J22"/>
    <mergeCell ref="B17:D17"/>
    <mergeCell ref="G17:J17"/>
    <mergeCell ref="B18:D18"/>
    <mergeCell ref="G18:J18"/>
    <mergeCell ref="B19:D19"/>
    <mergeCell ref="G19:J19"/>
    <mergeCell ref="P12:P13"/>
    <mergeCell ref="B14:D14"/>
    <mergeCell ref="G14:J14"/>
    <mergeCell ref="A15:A16"/>
    <mergeCell ref="B15:D16"/>
    <mergeCell ref="G15:J15"/>
    <mergeCell ref="G16:J16"/>
    <mergeCell ref="B11:E11"/>
    <mergeCell ref="F11:P11"/>
    <mergeCell ref="A12:A13"/>
    <mergeCell ref="B12:E13"/>
    <mergeCell ref="F12:F13"/>
    <mergeCell ref="G12:K13"/>
    <mergeCell ref="L12:L13"/>
    <mergeCell ref="M12:M13"/>
    <mergeCell ref="N12:N13"/>
    <mergeCell ref="O12:O13"/>
    <mergeCell ref="B10:E10"/>
    <mergeCell ref="F10:G10"/>
    <mergeCell ref="I10:J10"/>
    <mergeCell ref="B6:E6"/>
    <mergeCell ref="F6:O6"/>
    <mergeCell ref="B7:E7"/>
    <mergeCell ref="F7:P7"/>
    <mergeCell ref="B8:E8"/>
    <mergeCell ref="F8:G8"/>
    <mergeCell ref="I8:J8"/>
    <mergeCell ref="B1:P1"/>
    <mergeCell ref="B2:P2"/>
    <mergeCell ref="B3:P3"/>
    <mergeCell ref="B4:P4"/>
    <mergeCell ref="B5:E5"/>
    <mergeCell ref="F5:O5"/>
    <mergeCell ref="B9:E9"/>
    <mergeCell ref="F9:G9"/>
    <mergeCell ref="I9:J9"/>
  </mergeCells>
  <printOptions/>
  <pageMargins left="0" right="0" top="0" bottom="0" header="0" footer="0"/>
  <pageSetup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56"/>
  <sheetViews>
    <sheetView zoomScalePageLayoutView="0" workbookViewId="0" topLeftCell="A78">
      <selection activeCell="L30" sqref="L30"/>
    </sheetView>
  </sheetViews>
  <sheetFormatPr defaultColWidth="9.140625" defaultRowHeight="15"/>
  <cols>
    <col min="1" max="1" width="3.28125" style="2" customWidth="1"/>
    <col min="2" max="3" width="9.140625" style="2" customWidth="1"/>
    <col min="4" max="4" width="7.57421875" style="2" customWidth="1"/>
    <col min="5" max="5" width="13.00390625" style="2" customWidth="1"/>
    <col min="6" max="6" width="14.140625" style="2" customWidth="1"/>
    <col min="7" max="7" width="12.00390625" style="2" customWidth="1"/>
    <col min="8" max="8" width="12.140625" style="2" customWidth="1"/>
    <col min="9" max="9" width="7.00390625" style="2" customWidth="1"/>
    <col min="10" max="10" width="11.140625" style="2" customWidth="1"/>
    <col min="11" max="11" width="12.7109375" style="2" customWidth="1"/>
    <col min="12" max="12" width="13.8515625" style="2" customWidth="1"/>
    <col min="13" max="13" width="12.28125" style="2" customWidth="1"/>
    <col min="14" max="14" width="12.8515625" style="2" customWidth="1"/>
    <col min="15" max="15" width="8.421875" style="2" customWidth="1"/>
    <col min="16" max="16" width="9.28125" style="2" customWidth="1"/>
    <col min="17" max="17" width="9.140625" style="2" customWidth="1"/>
    <col min="18" max="18" width="12.140625" style="2" customWidth="1"/>
    <col min="19" max="19" width="11.140625" style="2" bestFit="1" customWidth="1"/>
    <col min="20" max="16384" width="9.140625" style="2" customWidth="1"/>
  </cols>
  <sheetData>
    <row r="1" spans="1:16" ht="15">
      <c r="A1" s="1"/>
      <c r="B1" s="318" t="s">
        <v>0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</row>
    <row r="2" spans="1:16" ht="22.5" customHeight="1">
      <c r="A2" s="1"/>
      <c r="B2" s="319" t="s">
        <v>242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</row>
    <row r="3" spans="1:16" ht="23.25" customHeight="1" thickBot="1">
      <c r="A3" s="1"/>
      <c r="B3" s="320" t="s">
        <v>1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</row>
    <row r="4" spans="1:16" ht="15.75" thickBot="1">
      <c r="A4" s="1"/>
      <c r="B4" s="321" t="s">
        <v>2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</row>
    <row r="5" spans="1:16" ht="23.25" customHeight="1" thickBot="1">
      <c r="A5" s="3"/>
      <c r="B5" s="322" t="s">
        <v>209</v>
      </c>
      <c r="C5" s="323"/>
      <c r="D5" s="323"/>
      <c r="E5" s="324"/>
      <c r="F5" s="325"/>
      <c r="G5" s="325"/>
      <c r="H5" s="325"/>
      <c r="I5" s="325"/>
      <c r="J5" s="325"/>
      <c r="K5" s="325"/>
      <c r="L5" s="325"/>
      <c r="M5" s="325"/>
      <c r="N5" s="325"/>
      <c r="O5" s="326"/>
      <c r="P5" s="4">
        <v>9380.24</v>
      </c>
    </row>
    <row r="6" spans="1:16" ht="28.5" customHeight="1" thickBot="1">
      <c r="A6" s="3"/>
      <c r="B6" s="322" t="s">
        <v>246</v>
      </c>
      <c r="C6" s="323"/>
      <c r="D6" s="323"/>
      <c r="E6" s="324"/>
      <c r="F6" s="325"/>
      <c r="G6" s="325"/>
      <c r="H6" s="325"/>
      <c r="I6" s="325"/>
      <c r="J6" s="325"/>
      <c r="K6" s="325"/>
      <c r="L6" s="325"/>
      <c r="M6" s="325"/>
      <c r="N6" s="325"/>
      <c r="O6" s="326"/>
      <c r="P6" s="288">
        <f>P10</f>
        <v>647445.44</v>
      </c>
    </row>
    <row r="7" spans="1:16" ht="15.75" thickBot="1">
      <c r="A7" s="3"/>
      <c r="B7" s="332"/>
      <c r="C7" s="333"/>
      <c r="D7" s="333"/>
      <c r="E7" s="334"/>
      <c r="F7" s="335"/>
      <c r="G7" s="335"/>
      <c r="H7" s="335"/>
      <c r="I7" s="335"/>
      <c r="J7" s="335"/>
      <c r="K7" s="335"/>
      <c r="L7" s="335"/>
      <c r="M7" s="335"/>
      <c r="N7" s="336"/>
      <c r="O7" s="336"/>
      <c r="P7" s="337"/>
    </row>
    <row r="8" spans="1:16" ht="75.75" thickBot="1">
      <c r="A8" s="6"/>
      <c r="B8" s="322" t="s">
        <v>3</v>
      </c>
      <c r="C8" s="323"/>
      <c r="D8" s="323"/>
      <c r="E8" s="324"/>
      <c r="F8" s="338" t="s">
        <v>4</v>
      </c>
      <c r="G8" s="339"/>
      <c r="H8" s="7" t="s">
        <v>5</v>
      </c>
      <c r="I8" s="338" t="s">
        <v>6</v>
      </c>
      <c r="J8" s="339"/>
      <c r="K8" s="8" t="s">
        <v>7</v>
      </c>
      <c r="L8" s="7" t="s">
        <v>8</v>
      </c>
      <c r="M8" s="285" t="s">
        <v>9</v>
      </c>
      <c r="N8" s="291" t="s">
        <v>10</v>
      </c>
      <c r="O8" s="11" t="s">
        <v>11</v>
      </c>
      <c r="P8" s="12"/>
    </row>
    <row r="9" spans="1:16" ht="15.75" thickBot="1">
      <c r="A9" s="3"/>
      <c r="B9" s="327" t="s">
        <v>12</v>
      </c>
      <c r="C9" s="328"/>
      <c r="D9" s="328"/>
      <c r="E9" s="329"/>
      <c r="F9" s="330">
        <v>0</v>
      </c>
      <c r="G9" s="331"/>
      <c r="H9" s="4">
        <v>0</v>
      </c>
      <c r="I9" s="330">
        <v>0</v>
      </c>
      <c r="J9" s="331"/>
      <c r="K9" s="13">
        <v>0</v>
      </c>
      <c r="L9" s="4">
        <v>0</v>
      </c>
      <c r="M9" s="287">
        <v>0</v>
      </c>
      <c r="N9" s="4">
        <v>0</v>
      </c>
      <c r="O9" s="15">
        <v>0</v>
      </c>
      <c r="P9" s="288">
        <v>0</v>
      </c>
    </row>
    <row r="10" spans="1:16" ht="20.25" customHeight="1" thickBot="1">
      <c r="A10" s="3"/>
      <c r="B10" s="327" t="s">
        <v>13</v>
      </c>
      <c r="C10" s="328"/>
      <c r="D10" s="328"/>
      <c r="E10" s="329"/>
      <c r="F10" s="330">
        <v>-35981.4</v>
      </c>
      <c r="G10" s="331"/>
      <c r="H10" s="4">
        <v>443795.11</v>
      </c>
      <c r="I10" s="330">
        <v>0</v>
      </c>
      <c r="J10" s="331"/>
      <c r="K10" s="13">
        <v>0</v>
      </c>
      <c r="L10" s="4">
        <v>211432.52</v>
      </c>
      <c r="M10" s="287">
        <v>0</v>
      </c>
      <c r="N10" s="4">
        <v>0</v>
      </c>
      <c r="O10" s="4">
        <v>28199.21</v>
      </c>
      <c r="P10" s="288">
        <f>SUM(F10:O10)</f>
        <v>647445.44</v>
      </c>
    </row>
    <row r="11" spans="1:16" ht="15.75" thickBot="1">
      <c r="A11" s="295"/>
      <c r="B11" s="360"/>
      <c r="C11" s="361"/>
      <c r="D11" s="361"/>
      <c r="E11" s="361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3"/>
    </row>
    <row r="12" spans="1:16" ht="15">
      <c r="A12" s="346"/>
      <c r="B12" s="364" t="s">
        <v>14</v>
      </c>
      <c r="C12" s="365"/>
      <c r="D12" s="365"/>
      <c r="E12" s="366"/>
      <c r="F12" s="340"/>
      <c r="G12" s="370" t="s">
        <v>15</v>
      </c>
      <c r="H12" s="362"/>
      <c r="I12" s="362"/>
      <c r="J12" s="362"/>
      <c r="K12" s="363"/>
      <c r="L12" s="340" t="s">
        <v>16</v>
      </c>
      <c r="M12" s="340" t="s">
        <v>17</v>
      </c>
      <c r="N12" s="340" t="s">
        <v>18</v>
      </c>
      <c r="O12" s="340" t="s">
        <v>19</v>
      </c>
      <c r="P12" s="340" t="s">
        <v>20</v>
      </c>
    </row>
    <row r="13" spans="1:16" ht="15.75" thickBot="1">
      <c r="A13" s="347"/>
      <c r="B13" s="367"/>
      <c r="C13" s="368"/>
      <c r="D13" s="368"/>
      <c r="E13" s="369"/>
      <c r="F13" s="341"/>
      <c r="G13" s="371"/>
      <c r="H13" s="372"/>
      <c r="I13" s="372"/>
      <c r="J13" s="372"/>
      <c r="K13" s="373"/>
      <c r="L13" s="341"/>
      <c r="M13" s="341"/>
      <c r="N13" s="341"/>
      <c r="O13" s="341"/>
      <c r="P13" s="341"/>
    </row>
    <row r="14" spans="1:16" ht="16.5" customHeight="1" thickBot="1">
      <c r="A14" s="3"/>
      <c r="B14" s="342" t="s">
        <v>21</v>
      </c>
      <c r="C14" s="343"/>
      <c r="D14" s="344"/>
      <c r="E14" s="17" t="s">
        <v>22</v>
      </c>
      <c r="F14" s="292">
        <v>3</v>
      </c>
      <c r="G14" s="345">
        <v>4</v>
      </c>
      <c r="H14" s="335"/>
      <c r="I14" s="335"/>
      <c r="J14" s="337"/>
      <c r="K14" s="19">
        <v>5</v>
      </c>
      <c r="L14" s="290">
        <v>6</v>
      </c>
      <c r="M14" s="7">
        <v>7</v>
      </c>
      <c r="N14" s="290">
        <v>8</v>
      </c>
      <c r="O14" s="290">
        <v>9</v>
      </c>
      <c r="P14" s="7">
        <v>10</v>
      </c>
    </row>
    <row r="15" spans="1:16" ht="34.5" customHeight="1" thickBot="1">
      <c r="A15" s="346"/>
      <c r="B15" s="348" t="s">
        <v>23</v>
      </c>
      <c r="C15" s="349"/>
      <c r="D15" s="350"/>
      <c r="E15" s="21" t="s">
        <v>24</v>
      </c>
      <c r="F15" s="21" t="s">
        <v>25</v>
      </c>
      <c r="G15" s="354" t="s">
        <v>26</v>
      </c>
      <c r="H15" s="355"/>
      <c r="I15" s="355"/>
      <c r="J15" s="356"/>
      <c r="K15" s="22" t="s">
        <v>27</v>
      </c>
      <c r="L15" s="23" t="s">
        <v>26</v>
      </c>
      <c r="M15" s="24" t="s">
        <v>28</v>
      </c>
      <c r="N15" s="24" t="s">
        <v>26</v>
      </c>
      <c r="O15" s="24" t="s">
        <v>26</v>
      </c>
      <c r="P15" s="25" t="s">
        <v>26</v>
      </c>
    </row>
    <row r="16" spans="1:16" ht="29.25" customHeight="1" thickBot="1">
      <c r="A16" s="347"/>
      <c r="B16" s="351"/>
      <c r="C16" s="352"/>
      <c r="D16" s="353"/>
      <c r="E16" s="26">
        <f>SUM(E17:E23)</f>
        <v>1525255</v>
      </c>
      <c r="F16" s="27">
        <f>SUM(F17:F23)</f>
        <v>16937486</v>
      </c>
      <c r="G16" s="357">
        <f>G17+G18+G19+G20+G21+G22+G23</f>
        <v>1222100.2699999998</v>
      </c>
      <c r="H16" s="358"/>
      <c r="I16" s="358"/>
      <c r="J16" s="359"/>
      <c r="K16" s="297">
        <f>SUM(K17:K23)</f>
        <v>1222100.2699999998</v>
      </c>
      <c r="L16" s="297">
        <f>SUM(L17:L23)</f>
        <v>16057713.48</v>
      </c>
      <c r="M16" s="297">
        <f>SUM(M17:M23)</f>
        <v>303154.73</v>
      </c>
      <c r="N16" s="297">
        <f>SUM(N17:N23)</f>
        <v>879772.5199999996</v>
      </c>
      <c r="O16" s="29">
        <v>0</v>
      </c>
      <c r="P16" s="29">
        <v>0</v>
      </c>
    </row>
    <row r="17" spans="1:18" ht="43.5" customHeight="1" thickBot="1">
      <c r="A17" s="30" t="s">
        <v>29</v>
      </c>
      <c r="B17" s="383" t="s">
        <v>244</v>
      </c>
      <c r="C17" s="384"/>
      <c r="D17" s="385"/>
      <c r="E17" s="154">
        <v>1065110</v>
      </c>
      <c r="F17" s="31">
        <f>10833881+E17</f>
        <v>11898991</v>
      </c>
      <c r="G17" s="377">
        <v>1029217.67</v>
      </c>
      <c r="H17" s="378"/>
      <c r="I17" s="378"/>
      <c r="J17" s="379"/>
      <c r="K17" s="294">
        <f>G17</f>
        <v>1029217.67</v>
      </c>
      <c r="L17" s="33">
        <f>8697667.81+K17</f>
        <v>9726885.48</v>
      </c>
      <c r="M17" s="34">
        <f>E17-K17</f>
        <v>35892.32999999996</v>
      </c>
      <c r="N17" s="35">
        <f>F17-L17</f>
        <v>2172105.5199999996</v>
      </c>
      <c r="O17" s="36">
        <v>0</v>
      </c>
      <c r="P17" s="36">
        <v>0</v>
      </c>
      <c r="Q17" s="1"/>
      <c r="R17" s="37">
        <v>365352.1499999948</v>
      </c>
    </row>
    <row r="18" spans="1:18" ht="44.25" customHeight="1" thickBot="1">
      <c r="A18" s="38" t="s">
        <v>31</v>
      </c>
      <c r="B18" s="386" t="s">
        <v>32</v>
      </c>
      <c r="C18" s="387"/>
      <c r="D18" s="388"/>
      <c r="E18" s="148">
        <v>450645</v>
      </c>
      <c r="F18" s="31">
        <f>4506450+E18</f>
        <v>4957095</v>
      </c>
      <c r="G18" s="377"/>
      <c r="H18" s="378"/>
      <c r="I18" s="378"/>
      <c r="J18" s="379"/>
      <c r="K18" s="294">
        <f>G18</f>
        <v>0</v>
      </c>
      <c r="L18" s="33">
        <f>5007150+K18</f>
        <v>5007150</v>
      </c>
      <c r="M18" s="34">
        <f>E18-K18</f>
        <v>450645</v>
      </c>
      <c r="N18" s="35">
        <f>F18-L18</f>
        <v>-50055</v>
      </c>
      <c r="O18" s="36">
        <v>0</v>
      </c>
      <c r="P18" s="36">
        <v>0</v>
      </c>
      <c r="Q18" s="1"/>
      <c r="R18" s="1"/>
    </row>
    <row r="19" spans="1:18" ht="36" customHeight="1" thickBot="1">
      <c r="A19" s="38" t="s">
        <v>33</v>
      </c>
      <c r="B19" s="389" t="s">
        <v>34</v>
      </c>
      <c r="C19" s="390"/>
      <c r="D19" s="391"/>
      <c r="E19" s="39"/>
      <c r="F19" s="31">
        <f>0+E19</f>
        <v>0</v>
      </c>
      <c r="G19" s="377"/>
      <c r="H19" s="378"/>
      <c r="I19" s="378"/>
      <c r="J19" s="379"/>
      <c r="K19" s="294">
        <f>G19</f>
        <v>0</v>
      </c>
      <c r="L19" s="33">
        <f>0+K19</f>
        <v>0</v>
      </c>
      <c r="M19" s="34">
        <f aca="true" t="shared" si="0" ref="M19:N23">E19-K19</f>
        <v>0</v>
      </c>
      <c r="N19" s="35">
        <f t="shared" si="0"/>
        <v>0</v>
      </c>
      <c r="O19" s="36">
        <v>0</v>
      </c>
      <c r="P19" s="40">
        <v>0</v>
      </c>
      <c r="Q19" s="1"/>
      <c r="R19" s="1"/>
    </row>
    <row r="20" spans="1:18" ht="52.5" customHeight="1" thickBot="1">
      <c r="A20" s="41" t="s">
        <v>35</v>
      </c>
      <c r="B20" s="374" t="s">
        <v>36</v>
      </c>
      <c r="C20" s="375"/>
      <c r="D20" s="376"/>
      <c r="E20" s="42"/>
      <c r="F20" s="31">
        <f>0+E20</f>
        <v>0</v>
      </c>
      <c r="G20" s="377"/>
      <c r="H20" s="378"/>
      <c r="I20" s="378"/>
      <c r="J20" s="379"/>
      <c r="K20" s="294">
        <f>G20</f>
        <v>0</v>
      </c>
      <c r="L20" s="33">
        <f>0+K20</f>
        <v>0</v>
      </c>
      <c r="M20" s="34">
        <f t="shared" si="0"/>
        <v>0</v>
      </c>
      <c r="N20" s="35">
        <f t="shared" si="0"/>
        <v>0</v>
      </c>
      <c r="O20" s="36">
        <v>0</v>
      </c>
      <c r="P20" s="36">
        <v>0</v>
      </c>
      <c r="Q20" s="37"/>
      <c r="R20" s="37"/>
    </row>
    <row r="21" spans="1:18" ht="34.5" customHeight="1" thickBot="1">
      <c r="A21" s="43" t="s">
        <v>37</v>
      </c>
      <c r="B21" s="380" t="s">
        <v>38</v>
      </c>
      <c r="C21" s="381"/>
      <c r="D21" s="382"/>
      <c r="E21" s="44"/>
      <c r="F21" s="31">
        <f>0+E21</f>
        <v>0</v>
      </c>
      <c r="G21" s="377">
        <v>29000</v>
      </c>
      <c r="H21" s="378"/>
      <c r="I21" s="378"/>
      <c r="J21" s="379"/>
      <c r="K21" s="294">
        <f>G21</f>
        <v>29000</v>
      </c>
      <c r="L21" s="33">
        <f>0+K21</f>
        <v>29000</v>
      </c>
      <c r="M21" s="34">
        <f t="shared" si="0"/>
        <v>-29000</v>
      </c>
      <c r="N21" s="35">
        <f t="shared" si="0"/>
        <v>-29000</v>
      </c>
      <c r="O21" s="36">
        <v>0</v>
      </c>
      <c r="P21" s="36">
        <v>0</v>
      </c>
      <c r="Q21" s="37"/>
      <c r="R21" s="1"/>
    </row>
    <row r="22" spans="1:18" ht="45.75" customHeight="1" thickBot="1">
      <c r="A22" s="43" t="s">
        <v>39</v>
      </c>
      <c r="B22" s="383" t="s">
        <v>40</v>
      </c>
      <c r="C22" s="384"/>
      <c r="D22" s="385"/>
      <c r="E22" s="149">
        <v>9500</v>
      </c>
      <c r="F22" s="31">
        <f>71900+E22</f>
        <v>81400</v>
      </c>
      <c r="G22" s="377">
        <v>2427.44</v>
      </c>
      <c r="H22" s="378"/>
      <c r="I22" s="378"/>
      <c r="J22" s="379"/>
      <c r="K22" s="294">
        <f>G22</f>
        <v>2427.44</v>
      </c>
      <c r="L22" s="33">
        <f>88841.81+K22</f>
        <v>91269.25</v>
      </c>
      <c r="M22" s="34">
        <f>E22-K22</f>
        <v>7072.5599999999995</v>
      </c>
      <c r="N22" s="35">
        <f t="shared" si="0"/>
        <v>-9869.25</v>
      </c>
      <c r="O22" s="36">
        <v>0</v>
      </c>
      <c r="P22" s="36">
        <v>0</v>
      </c>
      <c r="Q22" s="1"/>
      <c r="R22" s="1"/>
    </row>
    <row r="23" spans="1:18" ht="33" customHeight="1" thickBot="1">
      <c r="A23" s="43" t="s">
        <v>41</v>
      </c>
      <c r="B23" s="392" t="s">
        <v>42</v>
      </c>
      <c r="C23" s="393"/>
      <c r="D23" s="394"/>
      <c r="E23" s="46"/>
      <c r="F23" s="31"/>
      <c r="G23" s="377">
        <v>161455.16</v>
      </c>
      <c r="H23" s="378"/>
      <c r="I23" s="378"/>
      <c r="J23" s="379"/>
      <c r="K23" s="294">
        <f>G23</f>
        <v>161455.16</v>
      </c>
      <c r="L23" s="33">
        <f>1041953.59+K23</f>
        <v>1203408.75</v>
      </c>
      <c r="M23" s="34">
        <f t="shared" si="0"/>
        <v>-161455.16</v>
      </c>
      <c r="N23" s="35">
        <f t="shared" si="0"/>
        <v>-1203408.75</v>
      </c>
      <c r="O23" s="36">
        <v>0</v>
      </c>
      <c r="P23" s="36">
        <v>0</v>
      </c>
      <c r="Q23" s="1"/>
      <c r="R23" s="1"/>
    </row>
    <row r="24" spans="1:18" ht="9" customHeight="1" thickBot="1">
      <c r="A24" s="275"/>
      <c r="B24" s="276"/>
      <c r="C24" s="277"/>
      <c r="D24" s="277"/>
      <c r="E24" s="278"/>
      <c r="F24" s="279"/>
      <c r="G24" s="280"/>
      <c r="H24" s="280"/>
      <c r="I24" s="280"/>
      <c r="J24" s="280"/>
      <c r="K24" s="280"/>
      <c r="L24" s="90"/>
      <c r="M24" s="281"/>
      <c r="N24" s="282"/>
      <c r="O24" s="280"/>
      <c r="P24" s="283"/>
      <c r="Q24" s="1"/>
      <c r="R24" s="1"/>
    </row>
    <row r="25" spans="1:18" ht="15">
      <c r="A25" s="346"/>
      <c r="B25" s="395" t="s">
        <v>43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7"/>
      <c r="Q25" s="1"/>
      <c r="R25" s="1"/>
    </row>
    <row r="26" spans="1:18" ht="8.25" customHeight="1" thickBot="1">
      <c r="A26" s="347"/>
      <c r="B26" s="398"/>
      <c r="C26" s="399"/>
      <c r="D26" s="399"/>
      <c r="E26" s="399"/>
      <c r="F26" s="399"/>
      <c r="G26" s="399"/>
      <c r="H26" s="399"/>
      <c r="I26" s="399"/>
      <c r="J26" s="399"/>
      <c r="K26" s="399"/>
      <c r="L26" s="399"/>
      <c r="M26" s="399"/>
      <c r="N26" s="399"/>
      <c r="O26" s="399"/>
      <c r="P26" s="400"/>
      <c r="Q26" s="1"/>
      <c r="R26" s="1"/>
    </row>
    <row r="27" spans="1:18" ht="15.75" thickBot="1">
      <c r="A27" s="346"/>
      <c r="B27" s="364" t="s">
        <v>14</v>
      </c>
      <c r="C27" s="365"/>
      <c r="D27" s="366"/>
      <c r="E27" s="401" t="s">
        <v>24</v>
      </c>
      <c r="F27" s="403" t="s">
        <v>25</v>
      </c>
      <c r="G27" s="338" t="s">
        <v>44</v>
      </c>
      <c r="H27" s="321"/>
      <c r="I27" s="321"/>
      <c r="J27" s="321"/>
      <c r="K27" s="339"/>
      <c r="L27" s="340" t="s">
        <v>16</v>
      </c>
      <c r="M27" s="340" t="s">
        <v>17</v>
      </c>
      <c r="N27" s="340" t="s">
        <v>18</v>
      </c>
      <c r="O27" s="340" t="s">
        <v>19</v>
      </c>
      <c r="P27" s="340" t="s">
        <v>20</v>
      </c>
      <c r="Q27" s="1"/>
      <c r="R27" s="1"/>
    </row>
    <row r="28" spans="1:18" ht="102.75" customHeight="1" thickBot="1">
      <c r="A28" s="347"/>
      <c r="B28" s="367"/>
      <c r="C28" s="368"/>
      <c r="D28" s="369"/>
      <c r="E28" s="402"/>
      <c r="F28" s="404"/>
      <c r="G28" s="293" t="s">
        <v>45</v>
      </c>
      <c r="H28" s="293" t="s">
        <v>46</v>
      </c>
      <c r="I28" s="293" t="s">
        <v>47</v>
      </c>
      <c r="J28" s="7" t="s">
        <v>48</v>
      </c>
      <c r="K28" s="8" t="s">
        <v>27</v>
      </c>
      <c r="L28" s="341"/>
      <c r="M28" s="341"/>
      <c r="N28" s="341"/>
      <c r="O28" s="341"/>
      <c r="P28" s="341"/>
      <c r="Q28" s="1"/>
      <c r="R28" s="37">
        <v>365352.1499999948</v>
      </c>
    </row>
    <row r="29" spans="1:18" ht="15.75" thickBot="1">
      <c r="A29" s="3"/>
      <c r="B29" s="342">
        <v>1</v>
      </c>
      <c r="C29" s="343"/>
      <c r="D29" s="344"/>
      <c r="E29" s="17" t="s">
        <v>22</v>
      </c>
      <c r="F29" s="293">
        <v>3</v>
      </c>
      <c r="G29" s="293">
        <v>4</v>
      </c>
      <c r="H29" s="293">
        <v>5</v>
      </c>
      <c r="I29" s="7">
        <v>6</v>
      </c>
      <c r="J29" s="7">
        <v>7</v>
      </c>
      <c r="K29" s="48">
        <v>8</v>
      </c>
      <c r="L29" s="290">
        <v>9</v>
      </c>
      <c r="M29" s="7">
        <v>10</v>
      </c>
      <c r="N29" s="290">
        <v>11</v>
      </c>
      <c r="O29" s="7">
        <v>12</v>
      </c>
      <c r="P29" s="290">
        <v>13</v>
      </c>
      <c r="Q29" s="1"/>
      <c r="R29" s="1"/>
    </row>
    <row r="30" spans="1:18" ht="15.75" thickBot="1">
      <c r="A30" s="3"/>
      <c r="B30" s="345" t="s">
        <v>23</v>
      </c>
      <c r="C30" s="335"/>
      <c r="D30" s="337"/>
      <c r="E30" s="49">
        <f aca="true" t="shared" si="1" ref="E30:N30">E31+E35+E39+E45+E52+E55+E65+E68+E72+E75+E79+E81+E87+E100+E131+E134+E137+E140</f>
        <v>1525255</v>
      </c>
      <c r="F30" s="49">
        <f t="shared" si="1"/>
        <v>16944490</v>
      </c>
      <c r="G30" s="49">
        <f>G31+G35+G39+G45+G52+G55+G65+G68+G72+G75+G79+G81+G87+G100+G131+G134+G137+G140</f>
        <v>951387.9099999999</v>
      </c>
      <c r="H30" s="49">
        <f>H31+H35+H39+H45+H52+H55+H65+H68+H72+H75+H79+H81+H87+H100+H131+H134+H137+H140</f>
        <v>329189.68</v>
      </c>
      <c r="I30" s="49">
        <f t="shared" si="1"/>
        <v>0</v>
      </c>
      <c r="J30" s="49">
        <f>J31+J35+J39+J45+J52+J55+J65+J68+J72+J75+J79+J81+J87+J100+J131+J134+J137+J140</f>
        <v>221418.55</v>
      </c>
      <c r="K30" s="49">
        <f t="shared" si="1"/>
        <v>1501996.1400000001</v>
      </c>
      <c r="L30" s="49">
        <f>L31+L35+L39+L45+L52+L55+L65+L68+L72+L75+L79+L81+L87+L100+L131+L134+L137+L140</f>
        <v>15699544.150000002</v>
      </c>
      <c r="M30" s="49">
        <f t="shared" si="1"/>
        <v>23258.860000000015</v>
      </c>
      <c r="N30" s="49">
        <f t="shared" si="1"/>
        <v>1244945.8499999999</v>
      </c>
      <c r="O30" s="50">
        <v>0</v>
      </c>
      <c r="P30" s="50">
        <v>0</v>
      </c>
      <c r="Q30" s="1"/>
      <c r="R30" s="37">
        <f>3440426+E30</f>
        <v>4965681</v>
      </c>
    </row>
    <row r="31" spans="1:18" ht="15.75" thickBot="1">
      <c r="A31" s="51" t="s">
        <v>21</v>
      </c>
      <c r="B31" s="417" t="s">
        <v>49</v>
      </c>
      <c r="C31" s="418"/>
      <c r="D31" s="419"/>
      <c r="E31" s="52">
        <f>SUM(E32:E33)</f>
        <v>814734</v>
      </c>
      <c r="F31" s="53">
        <f>F32+F33+F34</f>
        <v>8715800</v>
      </c>
      <c r="G31" s="54">
        <f>G32+G33+G34</f>
        <v>472200.94</v>
      </c>
      <c r="H31" s="54">
        <f>H32</f>
        <v>329189.68</v>
      </c>
      <c r="I31" s="54">
        <f>I32</f>
        <v>0</v>
      </c>
      <c r="J31" s="54">
        <f>J34</f>
        <v>12540</v>
      </c>
      <c r="K31" s="53">
        <f>G31+H31+J31</f>
        <v>813930.62</v>
      </c>
      <c r="L31" s="55">
        <f>L32+L33+L34</f>
        <v>7960340.84</v>
      </c>
      <c r="M31" s="56">
        <f>E31-K31</f>
        <v>803.3800000000047</v>
      </c>
      <c r="N31" s="70">
        <f>F31-L31</f>
        <v>755459.1600000001</v>
      </c>
      <c r="O31" s="58">
        <v>0</v>
      </c>
      <c r="P31" s="59">
        <v>0</v>
      </c>
      <c r="Q31" s="37"/>
      <c r="R31" s="37"/>
    </row>
    <row r="32" spans="1:18" ht="21" customHeight="1" thickBot="1">
      <c r="A32" s="60" t="s">
        <v>50</v>
      </c>
      <c r="B32" s="411" t="s">
        <v>51</v>
      </c>
      <c r="C32" s="412"/>
      <c r="D32" s="413"/>
      <c r="E32" s="187">
        <v>374913</v>
      </c>
      <c r="F32" s="31">
        <f>3749127+E32</f>
        <v>4124040</v>
      </c>
      <c r="G32" s="62"/>
      <c r="H32" s="62">
        <v>329189.68</v>
      </c>
      <c r="I32" s="62"/>
      <c r="J32" s="62"/>
      <c r="K32" s="45">
        <f>H32</f>
        <v>329189.68</v>
      </c>
      <c r="L32" s="33">
        <f>3806031.89+K32</f>
        <v>4135221.5700000003</v>
      </c>
      <c r="M32" s="34">
        <f>E32-K32</f>
        <v>45723.32000000001</v>
      </c>
      <c r="N32" s="63">
        <f>F32-L32</f>
        <v>-11181.570000000298</v>
      </c>
      <c r="O32" s="64">
        <v>0</v>
      </c>
      <c r="P32" s="65">
        <v>0</v>
      </c>
      <c r="Q32" s="37"/>
      <c r="R32" s="37"/>
    </row>
    <row r="33" spans="1:18" ht="29.25" customHeight="1" thickBot="1">
      <c r="A33" s="60" t="s">
        <v>52</v>
      </c>
      <c r="B33" s="405" t="s">
        <v>53</v>
      </c>
      <c r="C33" s="406"/>
      <c r="D33" s="407"/>
      <c r="E33" s="187">
        <v>439821</v>
      </c>
      <c r="F33" s="31">
        <f>4151939+E33</f>
        <v>4591760</v>
      </c>
      <c r="G33" s="62">
        <v>472200.94</v>
      </c>
      <c r="H33" s="62"/>
      <c r="I33" s="62"/>
      <c r="J33" s="62"/>
      <c r="K33" s="33">
        <f>0+G33</f>
        <v>472200.94</v>
      </c>
      <c r="L33" s="33">
        <f>3340378.33+K33</f>
        <v>3812579.27</v>
      </c>
      <c r="M33" s="34">
        <f>E33-K33</f>
        <v>-32379.940000000002</v>
      </c>
      <c r="N33" s="63">
        <f>F33-L33</f>
        <v>779180.73</v>
      </c>
      <c r="O33" s="64">
        <v>0</v>
      </c>
      <c r="P33" s="65">
        <v>0</v>
      </c>
      <c r="Q33" s="37"/>
      <c r="R33" s="37"/>
    </row>
    <row r="34" spans="1:18" ht="30.75" customHeight="1" thickBot="1">
      <c r="A34" s="60" t="s">
        <v>54</v>
      </c>
      <c r="B34" s="405" t="s">
        <v>55</v>
      </c>
      <c r="C34" s="406"/>
      <c r="D34" s="407"/>
      <c r="E34" s="66"/>
      <c r="F34" s="33"/>
      <c r="G34" s="62"/>
      <c r="H34" s="62"/>
      <c r="I34" s="62"/>
      <c r="J34" s="62">
        <v>12540</v>
      </c>
      <c r="K34" s="33">
        <f>0+J34</f>
        <v>12540</v>
      </c>
      <c r="L34" s="33">
        <f>0+K34</f>
        <v>12540</v>
      </c>
      <c r="M34" s="34">
        <f>E34-K34</f>
        <v>-12540</v>
      </c>
      <c r="N34" s="63">
        <f>F34-L34</f>
        <v>-12540</v>
      </c>
      <c r="O34" s="64">
        <v>0</v>
      </c>
      <c r="P34" s="65">
        <v>0</v>
      </c>
      <c r="Q34" s="37"/>
      <c r="R34" s="37"/>
    </row>
    <row r="35" spans="1:18" ht="33" customHeight="1" thickBot="1">
      <c r="A35" s="69" t="s">
        <v>22</v>
      </c>
      <c r="B35" s="408" t="s">
        <v>56</v>
      </c>
      <c r="C35" s="409"/>
      <c r="D35" s="410"/>
      <c r="E35" s="53">
        <f>SUM(E36:E38)</f>
        <v>164576</v>
      </c>
      <c r="F35" s="53">
        <f>F36+F37+F38</f>
        <v>1760591</v>
      </c>
      <c r="G35" s="54">
        <f>G36+G37+G38</f>
        <v>26219</v>
      </c>
      <c r="H35" s="54">
        <f>H36</f>
        <v>0</v>
      </c>
      <c r="I35" s="54"/>
      <c r="J35" s="54"/>
      <c r="K35" s="53">
        <f>G35+H35</f>
        <v>26219</v>
      </c>
      <c r="L35" s="55">
        <f>L36+L37</f>
        <v>1638598.4</v>
      </c>
      <c r="M35" s="56">
        <f aca="true" t="shared" si="2" ref="M35:N37">E35-K35</f>
        <v>138357</v>
      </c>
      <c r="N35" s="70">
        <f t="shared" si="2"/>
        <v>121992.6000000001</v>
      </c>
      <c r="O35" s="58">
        <v>0</v>
      </c>
      <c r="P35" s="59">
        <v>0</v>
      </c>
      <c r="Q35" s="1"/>
      <c r="R35" s="1"/>
    </row>
    <row r="36" spans="1:18" ht="21.75" customHeight="1" thickBot="1">
      <c r="A36" s="60" t="s">
        <v>57</v>
      </c>
      <c r="B36" s="411" t="s">
        <v>51</v>
      </c>
      <c r="C36" s="412"/>
      <c r="D36" s="413"/>
      <c r="E36" s="188">
        <v>75732</v>
      </c>
      <c r="F36" s="31">
        <f>757324+E36</f>
        <v>833056</v>
      </c>
      <c r="G36" s="62"/>
      <c r="H36" s="62"/>
      <c r="I36" s="62"/>
      <c r="J36" s="62"/>
      <c r="K36" s="45">
        <f>H36</f>
        <v>0</v>
      </c>
      <c r="L36" s="33">
        <f>757323+K36</f>
        <v>757323</v>
      </c>
      <c r="M36" s="34">
        <f t="shared" si="2"/>
        <v>75732</v>
      </c>
      <c r="N36" s="63">
        <f t="shared" si="2"/>
        <v>75733</v>
      </c>
      <c r="O36" s="64">
        <v>0</v>
      </c>
      <c r="P36" s="65">
        <v>0</v>
      </c>
      <c r="Q36" s="1"/>
      <c r="R36" s="71">
        <f>10506304-F30</f>
        <v>-6438186</v>
      </c>
    </row>
    <row r="37" spans="1:18" ht="28.5" customHeight="1" thickBot="1">
      <c r="A37" s="60" t="s">
        <v>58</v>
      </c>
      <c r="B37" s="405" t="s">
        <v>53</v>
      </c>
      <c r="C37" s="406"/>
      <c r="D37" s="407"/>
      <c r="E37" s="188">
        <v>88844</v>
      </c>
      <c r="F37" s="31">
        <f>838691+E37</f>
        <v>927535</v>
      </c>
      <c r="G37" s="62">
        <v>26219</v>
      </c>
      <c r="H37" s="62"/>
      <c r="I37" s="62"/>
      <c r="J37" s="62"/>
      <c r="K37" s="45">
        <f>G37</f>
        <v>26219</v>
      </c>
      <c r="L37" s="33">
        <f>855056.4+K37</f>
        <v>881275.4</v>
      </c>
      <c r="M37" s="34">
        <f>E37-K37</f>
        <v>62625</v>
      </c>
      <c r="N37" s="63">
        <f t="shared" si="2"/>
        <v>46259.59999999998</v>
      </c>
      <c r="O37" s="64">
        <v>0</v>
      </c>
      <c r="P37" s="65">
        <v>0</v>
      </c>
      <c r="Q37" s="1"/>
      <c r="R37" s="1"/>
    </row>
    <row r="38" spans="1:18" ht="27.75" customHeight="1" thickBot="1">
      <c r="A38" s="60" t="s">
        <v>59</v>
      </c>
      <c r="B38" s="405" t="s">
        <v>55</v>
      </c>
      <c r="C38" s="406"/>
      <c r="D38" s="407"/>
      <c r="E38" s="45"/>
      <c r="F38" s="31"/>
      <c r="G38" s="62"/>
      <c r="H38" s="62"/>
      <c r="I38" s="62"/>
      <c r="J38" s="62"/>
      <c r="K38" s="45"/>
      <c r="L38" s="33"/>
      <c r="M38" s="67"/>
      <c r="N38" s="72"/>
      <c r="O38" s="64"/>
      <c r="P38" s="65"/>
      <c r="Q38" s="1"/>
      <c r="R38" s="1"/>
    </row>
    <row r="39" spans="1:18" ht="30.75" customHeight="1" thickBot="1">
      <c r="A39" s="69" t="s">
        <v>60</v>
      </c>
      <c r="B39" s="408" t="s">
        <v>61</v>
      </c>
      <c r="C39" s="409"/>
      <c r="D39" s="410"/>
      <c r="E39" s="53">
        <f>SUM(E42:E44)</f>
        <v>5065</v>
      </c>
      <c r="F39" s="73">
        <f>F42+F43+F44</f>
        <v>58715</v>
      </c>
      <c r="G39" s="54">
        <f>G41</f>
        <v>4845.1</v>
      </c>
      <c r="H39" s="54"/>
      <c r="I39" s="54"/>
      <c r="J39" s="54"/>
      <c r="K39" s="55">
        <f>K40+K41</f>
        <v>4845.1</v>
      </c>
      <c r="L39" s="55">
        <f>L41+L40</f>
        <v>56251.28</v>
      </c>
      <c r="M39" s="56">
        <f>E39-K39</f>
        <v>219.89999999999964</v>
      </c>
      <c r="N39" s="57">
        <f>F39-L39</f>
        <v>2463.720000000001</v>
      </c>
      <c r="O39" s="58">
        <v>0</v>
      </c>
      <c r="P39" s="59">
        <v>0</v>
      </c>
      <c r="Q39" s="1"/>
      <c r="R39" s="1"/>
    </row>
    <row r="40" spans="1:18" ht="15.75" thickBot="1">
      <c r="A40" s="60" t="s">
        <v>62</v>
      </c>
      <c r="B40" s="411" t="s">
        <v>51</v>
      </c>
      <c r="C40" s="412"/>
      <c r="D40" s="413"/>
      <c r="E40" s="33"/>
      <c r="F40" s="31"/>
      <c r="G40" s="62"/>
      <c r="H40" s="62"/>
      <c r="I40" s="62"/>
      <c r="J40" s="62"/>
      <c r="K40" s="45"/>
      <c r="L40" s="33"/>
      <c r="M40" s="67"/>
      <c r="N40" s="72"/>
      <c r="O40" s="64"/>
      <c r="P40" s="65"/>
      <c r="Q40" s="1"/>
      <c r="R40" s="1"/>
    </row>
    <row r="41" spans="1:18" ht="15.75" thickBot="1">
      <c r="A41" s="60" t="s">
        <v>63</v>
      </c>
      <c r="B41" s="405" t="s">
        <v>53</v>
      </c>
      <c r="C41" s="406"/>
      <c r="D41" s="407"/>
      <c r="E41" s="45">
        <f>E42+E43+E44</f>
        <v>5065</v>
      </c>
      <c r="F41" s="31">
        <f>53650+E41</f>
        <v>58715</v>
      </c>
      <c r="G41" s="62">
        <f>G42+G43</f>
        <v>4845.1</v>
      </c>
      <c r="H41" s="62"/>
      <c r="I41" s="62"/>
      <c r="J41" s="62"/>
      <c r="K41" s="33">
        <f>0+G41</f>
        <v>4845.1</v>
      </c>
      <c r="L41" s="33">
        <f>L42+L43+L44</f>
        <v>56251.28</v>
      </c>
      <c r="M41" s="34">
        <f>E41-K41</f>
        <v>219.89999999999964</v>
      </c>
      <c r="N41" s="63">
        <f aca="true" t="shared" si="3" ref="M41:N56">F41-L41</f>
        <v>2463.720000000001</v>
      </c>
      <c r="O41" s="64">
        <v>0</v>
      </c>
      <c r="P41" s="65">
        <v>0</v>
      </c>
      <c r="Q41" s="1"/>
      <c r="R41" s="1">
        <f>597.62+626.75+3839.72-2219</f>
        <v>2845.09</v>
      </c>
    </row>
    <row r="42" spans="1:18" ht="15.75" thickBot="1">
      <c r="A42" s="60" t="s">
        <v>64</v>
      </c>
      <c r="B42" s="414" t="s">
        <v>65</v>
      </c>
      <c r="C42" s="415"/>
      <c r="D42" s="416"/>
      <c r="E42" s="153">
        <v>2846</v>
      </c>
      <c r="F42" s="31">
        <f>28460+E42</f>
        <v>31306</v>
      </c>
      <c r="G42" s="62">
        <v>2626.1</v>
      </c>
      <c r="H42" s="62"/>
      <c r="I42" s="62"/>
      <c r="J42" s="62"/>
      <c r="K42" s="33">
        <f>0+G42</f>
        <v>2626.1</v>
      </c>
      <c r="L42" s="33">
        <f>27104.18+K42</f>
        <v>29730.28</v>
      </c>
      <c r="M42" s="34">
        <f t="shared" si="3"/>
        <v>219.9000000000001</v>
      </c>
      <c r="N42" s="63">
        <f t="shared" si="3"/>
        <v>1575.7200000000012</v>
      </c>
      <c r="O42" s="64">
        <v>0</v>
      </c>
      <c r="P42" s="65">
        <v>0</v>
      </c>
      <c r="Q42" s="1"/>
      <c r="R42" s="1"/>
    </row>
    <row r="43" spans="1:18" ht="15.75" thickBot="1">
      <c r="A43" s="60" t="s">
        <v>66</v>
      </c>
      <c r="B43" s="414" t="s">
        <v>67</v>
      </c>
      <c r="C43" s="415"/>
      <c r="D43" s="416"/>
      <c r="E43" s="153">
        <v>2219</v>
      </c>
      <c r="F43" s="31">
        <f>22190+E43</f>
        <v>24409</v>
      </c>
      <c r="G43" s="62">
        <v>2219</v>
      </c>
      <c r="H43" s="62"/>
      <c r="I43" s="62"/>
      <c r="J43" s="62"/>
      <c r="K43" s="33">
        <f>0+G43</f>
        <v>2219</v>
      </c>
      <c r="L43" s="33">
        <f>22190+K43</f>
        <v>24409</v>
      </c>
      <c r="M43" s="34">
        <f t="shared" si="3"/>
        <v>0</v>
      </c>
      <c r="N43" s="63">
        <f t="shared" si="3"/>
        <v>0</v>
      </c>
      <c r="O43" s="64">
        <v>0</v>
      </c>
      <c r="P43" s="65">
        <v>0</v>
      </c>
      <c r="Q43" s="1"/>
      <c r="R43" s="1"/>
    </row>
    <row r="44" spans="1:18" ht="19.5" customHeight="1" thickBot="1">
      <c r="A44" s="60" t="s">
        <v>68</v>
      </c>
      <c r="B44" s="414" t="s">
        <v>210</v>
      </c>
      <c r="C44" s="415"/>
      <c r="D44" s="416"/>
      <c r="E44" s="153"/>
      <c r="F44" s="31">
        <f>3000+E44</f>
        <v>3000</v>
      </c>
      <c r="G44" s="74"/>
      <c r="H44" s="74"/>
      <c r="I44" s="74"/>
      <c r="J44" s="62"/>
      <c r="K44" s="33">
        <f>0+J44</f>
        <v>0</v>
      </c>
      <c r="L44" s="33">
        <f>2112+K44</f>
        <v>2112</v>
      </c>
      <c r="M44" s="34">
        <f t="shared" si="3"/>
        <v>0</v>
      </c>
      <c r="N44" s="63">
        <f t="shared" si="3"/>
        <v>888</v>
      </c>
      <c r="O44" s="64">
        <v>0</v>
      </c>
      <c r="P44" s="65">
        <v>0</v>
      </c>
      <c r="Q44" s="1"/>
      <c r="R44" s="37"/>
    </row>
    <row r="45" spans="1:18" ht="33.75" customHeight="1" thickBot="1">
      <c r="A45" s="51" t="s">
        <v>69</v>
      </c>
      <c r="B45" s="408" t="s">
        <v>70</v>
      </c>
      <c r="C45" s="409"/>
      <c r="D45" s="410"/>
      <c r="E45" s="53">
        <f>SUM(E48:E50)</f>
        <v>200000</v>
      </c>
      <c r="F45" s="73">
        <f>F46+F47+F48</f>
        <v>2042800</v>
      </c>
      <c r="G45" s="55">
        <f>G46+G47+G48</f>
        <v>202623.3</v>
      </c>
      <c r="H45" s="75"/>
      <c r="I45" s="75"/>
      <c r="J45" s="54"/>
      <c r="K45" s="55">
        <f>K46+K47+K48</f>
        <v>202623.3</v>
      </c>
      <c r="L45" s="55">
        <f>L46+L47+L48</f>
        <v>1832567.8</v>
      </c>
      <c r="M45" s="56">
        <f t="shared" si="3"/>
        <v>-2623.2999999999884</v>
      </c>
      <c r="N45" s="158">
        <f t="shared" si="3"/>
        <v>210232.19999999995</v>
      </c>
      <c r="O45" s="58">
        <v>0</v>
      </c>
      <c r="P45" s="59">
        <v>0</v>
      </c>
      <c r="Q45" s="1"/>
      <c r="R45" s="1"/>
    </row>
    <row r="46" spans="1:18" ht="30" customHeight="1" thickBot="1">
      <c r="A46" s="60" t="s">
        <v>71</v>
      </c>
      <c r="B46" s="405" t="s">
        <v>53</v>
      </c>
      <c r="C46" s="406"/>
      <c r="D46" s="407"/>
      <c r="E46" s="155">
        <f>E49+E50</f>
        <v>200000</v>
      </c>
      <c r="F46" s="31">
        <f>F49+F50+F51</f>
        <v>2042800</v>
      </c>
      <c r="G46" s="33">
        <f>G49+G50</f>
        <v>202623.3</v>
      </c>
      <c r="H46" s="74"/>
      <c r="I46" s="74"/>
      <c r="J46" s="62"/>
      <c r="K46" s="33">
        <f>0+G46</f>
        <v>202623.3</v>
      </c>
      <c r="L46" s="33">
        <f>L49+L50</f>
        <v>1832567.8</v>
      </c>
      <c r="M46" s="34">
        <f>E46-K46</f>
        <v>-2623.2999999999884</v>
      </c>
      <c r="N46" s="35">
        <f t="shared" si="3"/>
        <v>210232.19999999995</v>
      </c>
      <c r="O46" s="64">
        <v>0</v>
      </c>
      <c r="P46" s="65">
        <v>0</v>
      </c>
      <c r="Q46" s="1"/>
      <c r="R46" s="1"/>
    </row>
    <row r="47" spans="1:18" ht="18.75" customHeight="1" thickBot="1">
      <c r="A47" s="60" t="s">
        <v>72</v>
      </c>
      <c r="B47" s="411" t="s">
        <v>51</v>
      </c>
      <c r="C47" s="412"/>
      <c r="D47" s="413"/>
      <c r="E47" s="76"/>
      <c r="F47" s="31"/>
      <c r="G47" s="33"/>
      <c r="H47" s="74"/>
      <c r="I47" s="74"/>
      <c r="J47" s="62"/>
      <c r="K47" s="33">
        <f aca="true" t="shared" si="4" ref="K47:K54">0+G47</f>
        <v>0</v>
      </c>
      <c r="L47" s="33">
        <f>0+K47</f>
        <v>0</v>
      </c>
      <c r="M47" s="34">
        <f t="shared" si="3"/>
        <v>0</v>
      </c>
      <c r="N47" s="63">
        <f t="shared" si="3"/>
        <v>0</v>
      </c>
      <c r="O47" s="64">
        <v>0</v>
      </c>
      <c r="P47" s="65">
        <v>0</v>
      </c>
      <c r="Q47" s="1"/>
      <c r="R47" s="1"/>
    </row>
    <row r="48" spans="1:18" ht="18.75" customHeight="1" thickBot="1">
      <c r="A48" s="60" t="s">
        <v>73</v>
      </c>
      <c r="B48" s="77" t="s">
        <v>55</v>
      </c>
      <c r="C48" s="78"/>
      <c r="D48" s="78"/>
      <c r="E48" s="79"/>
      <c r="F48" s="31"/>
      <c r="G48" s="33"/>
      <c r="H48" s="74"/>
      <c r="I48" s="74"/>
      <c r="J48" s="62"/>
      <c r="K48" s="33">
        <f t="shared" si="4"/>
        <v>0</v>
      </c>
      <c r="L48" s="33">
        <f>0+K48</f>
        <v>0</v>
      </c>
      <c r="M48" s="34">
        <f t="shared" si="3"/>
        <v>0</v>
      </c>
      <c r="N48" s="63">
        <f t="shared" si="3"/>
        <v>0</v>
      </c>
      <c r="O48" s="64">
        <v>0</v>
      </c>
      <c r="P48" s="65">
        <v>0</v>
      </c>
      <c r="Q48" s="1"/>
      <c r="R48" s="80"/>
    </row>
    <row r="49" spans="1:18" ht="29.25" customHeight="1" thickBot="1">
      <c r="A49" s="60" t="s">
        <v>74</v>
      </c>
      <c r="B49" s="420" t="s">
        <v>75</v>
      </c>
      <c r="C49" s="421"/>
      <c r="D49" s="422"/>
      <c r="E49" s="156">
        <v>200000</v>
      </c>
      <c r="F49" s="31">
        <f>1805000+E49</f>
        <v>2005000</v>
      </c>
      <c r="G49" s="74">
        <v>198935</v>
      </c>
      <c r="H49" s="74"/>
      <c r="I49" s="74"/>
      <c r="J49" s="62"/>
      <c r="K49" s="33">
        <f>0+G49</f>
        <v>198935</v>
      </c>
      <c r="L49" s="33">
        <f>1624565.5+K49</f>
        <v>1823500.5</v>
      </c>
      <c r="M49" s="34">
        <f>E49-K49</f>
        <v>1065</v>
      </c>
      <c r="N49" s="63">
        <f t="shared" si="3"/>
        <v>181499.5</v>
      </c>
      <c r="O49" s="64">
        <v>0</v>
      </c>
      <c r="P49" s="65">
        <v>0</v>
      </c>
      <c r="Q49" s="1"/>
      <c r="R49" s="37"/>
    </row>
    <row r="50" spans="1:18" ht="29.25" customHeight="1" thickBot="1">
      <c r="A50" s="60" t="s">
        <v>76</v>
      </c>
      <c r="B50" s="420" t="s">
        <v>77</v>
      </c>
      <c r="C50" s="421"/>
      <c r="D50" s="422"/>
      <c r="E50" s="156"/>
      <c r="F50" s="31">
        <f>37800+E50</f>
        <v>37800</v>
      </c>
      <c r="G50" s="74">
        <v>3688.3</v>
      </c>
      <c r="H50" s="74"/>
      <c r="I50" s="74"/>
      <c r="J50" s="62"/>
      <c r="K50" s="33">
        <f t="shared" si="4"/>
        <v>3688.3</v>
      </c>
      <c r="L50" s="33">
        <f>5379+K50</f>
        <v>9067.3</v>
      </c>
      <c r="M50" s="34">
        <f t="shared" si="3"/>
        <v>-3688.3</v>
      </c>
      <c r="N50" s="63">
        <f t="shared" si="3"/>
        <v>28732.7</v>
      </c>
      <c r="O50" s="64">
        <v>0</v>
      </c>
      <c r="P50" s="65">
        <v>0</v>
      </c>
      <c r="Q50" s="1"/>
      <c r="R50" s="1"/>
    </row>
    <row r="51" spans="1:18" ht="20.25" customHeight="1" thickBot="1">
      <c r="A51" s="60" t="s">
        <v>78</v>
      </c>
      <c r="B51" s="420" t="s">
        <v>79</v>
      </c>
      <c r="C51" s="421"/>
      <c r="D51" s="422"/>
      <c r="E51" s="74"/>
      <c r="F51" s="31">
        <f>0+E51</f>
        <v>0</v>
      </c>
      <c r="G51" s="74"/>
      <c r="H51" s="74"/>
      <c r="I51" s="74"/>
      <c r="J51" s="62"/>
      <c r="K51" s="33">
        <f t="shared" si="4"/>
        <v>0</v>
      </c>
      <c r="L51" s="33">
        <f aca="true" t="shared" si="5" ref="L51:L58">0+K51</f>
        <v>0</v>
      </c>
      <c r="M51" s="34">
        <f t="shared" si="3"/>
        <v>0</v>
      </c>
      <c r="N51" s="63">
        <f t="shared" si="3"/>
        <v>0</v>
      </c>
      <c r="O51" s="64">
        <v>0</v>
      </c>
      <c r="P51" s="65">
        <v>0</v>
      </c>
      <c r="Q51" s="1"/>
      <c r="R51" s="1"/>
    </row>
    <row r="52" spans="1:18" ht="45" customHeight="1" thickBot="1">
      <c r="A52" s="69" t="s">
        <v>80</v>
      </c>
      <c r="B52" s="423" t="s">
        <v>81</v>
      </c>
      <c r="C52" s="424"/>
      <c r="D52" s="425"/>
      <c r="E52" s="55">
        <v>0</v>
      </c>
      <c r="F52" s="55">
        <v>0</v>
      </c>
      <c r="G52" s="55"/>
      <c r="H52" s="55"/>
      <c r="I52" s="55"/>
      <c r="J52" s="54"/>
      <c r="K52" s="55">
        <f t="shared" si="4"/>
        <v>0</v>
      </c>
      <c r="L52" s="55">
        <f t="shared" si="5"/>
        <v>0</v>
      </c>
      <c r="M52" s="56">
        <f t="shared" si="3"/>
        <v>0</v>
      </c>
      <c r="N52" s="57">
        <f t="shared" si="3"/>
        <v>0</v>
      </c>
      <c r="O52" s="58">
        <v>0</v>
      </c>
      <c r="P52" s="59">
        <v>0</v>
      </c>
      <c r="Q52" s="1"/>
      <c r="R52" s="1"/>
    </row>
    <row r="53" spans="1:18" ht="30" customHeight="1" thickBot="1">
      <c r="A53" s="60" t="s">
        <v>82</v>
      </c>
      <c r="B53" s="405" t="s">
        <v>53</v>
      </c>
      <c r="C53" s="406"/>
      <c r="D53" s="407"/>
      <c r="E53" s="33"/>
      <c r="F53" s="33"/>
      <c r="G53" s="33"/>
      <c r="H53" s="33"/>
      <c r="I53" s="33"/>
      <c r="J53" s="62"/>
      <c r="K53" s="33">
        <f t="shared" si="4"/>
        <v>0</v>
      </c>
      <c r="L53" s="33">
        <f t="shared" si="5"/>
        <v>0</v>
      </c>
      <c r="M53" s="34">
        <f t="shared" si="3"/>
        <v>0</v>
      </c>
      <c r="N53" s="63">
        <f t="shared" si="3"/>
        <v>0</v>
      </c>
      <c r="O53" s="64">
        <v>0</v>
      </c>
      <c r="P53" s="65">
        <v>0</v>
      </c>
      <c r="Q53" s="1"/>
      <c r="R53" s="1"/>
    </row>
    <row r="54" spans="1:18" ht="15.75" thickBot="1">
      <c r="A54" s="60" t="s">
        <v>83</v>
      </c>
      <c r="B54" s="457" t="s">
        <v>55</v>
      </c>
      <c r="C54" s="458"/>
      <c r="D54" s="459"/>
      <c r="E54" s="33"/>
      <c r="F54" s="33"/>
      <c r="G54" s="33"/>
      <c r="H54" s="33"/>
      <c r="I54" s="33"/>
      <c r="J54" s="62"/>
      <c r="K54" s="33">
        <f t="shared" si="4"/>
        <v>0</v>
      </c>
      <c r="L54" s="33">
        <f t="shared" si="5"/>
        <v>0</v>
      </c>
      <c r="M54" s="34">
        <f t="shared" si="3"/>
        <v>0</v>
      </c>
      <c r="N54" s="63">
        <f t="shared" si="3"/>
        <v>0</v>
      </c>
      <c r="O54" s="64">
        <v>0</v>
      </c>
      <c r="P54" s="65">
        <v>0</v>
      </c>
      <c r="Q54" s="1"/>
      <c r="R54" s="1"/>
    </row>
    <row r="55" spans="1:18" ht="42.75" customHeight="1" thickBot="1">
      <c r="A55" s="69" t="s">
        <v>84</v>
      </c>
      <c r="B55" s="408" t="s">
        <v>85</v>
      </c>
      <c r="C55" s="409"/>
      <c r="D55" s="410"/>
      <c r="E55" s="53">
        <f>SUM(E60:E64)</f>
        <v>301300</v>
      </c>
      <c r="F55" s="73">
        <f>F56+F59</f>
        <v>2007900</v>
      </c>
      <c r="G55" s="55">
        <f>G56+G57+G58+G59</f>
        <v>121691.46</v>
      </c>
      <c r="H55" s="55"/>
      <c r="I55" s="55"/>
      <c r="J55" s="55">
        <f>J56+J57+J58+J59</f>
        <v>13424.650000000001</v>
      </c>
      <c r="K55" s="55">
        <f>K56+K57+K58+K59</f>
        <v>135116.11000000002</v>
      </c>
      <c r="L55" s="55">
        <f>L56+L57+L58+L59</f>
        <v>1710884.72</v>
      </c>
      <c r="M55" s="56">
        <f t="shared" si="3"/>
        <v>166183.88999999998</v>
      </c>
      <c r="N55" s="70">
        <f t="shared" si="3"/>
        <v>297015.28</v>
      </c>
      <c r="O55" s="58">
        <v>0</v>
      </c>
      <c r="P55" s="59">
        <v>0</v>
      </c>
      <c r="Q55" s="1"/>
      <c r="R55" s="37">
        <f>F60+F61+F63+F64-F59</f>
        <v>1925300</v>
      </c>
    </row>
    <row r="56" spans="1:18" ht="31.5" customHeight="1" thickBot="1">
      <c r="A56" s="60" t="s">
        <v>86</v>
      </c>
      <c r="B56" s="405" t="s">
        <v>53</v>
      </c>
      <c r="C56" s="406"/>
      <c r="D56" s="407"/>
      <c r="E56" s="81">
        <f>E60+E61+E63+E64-E59</f>
        <v>291800</v>
      </c>
      <c r="F56" s="31">
        <f>1633500+E56</f>
        <v>1925300</v>
      </c>
      <c r="G56" s="33">
        <f>G63++G60+G61+G64</f>
        <v>121691.46</v>
      </c>
      <c r="H56" s="33"/>
      <c r="I56" s="33"/>
      <c r="J56" s="33"/>
      <c r="K56" s="33">
        <f>0+G56</f>
        <v>121691.46</v>
      </c>
      <c r="L56" s="33">
        <f>1506828.51+K56</f>
        <v>1628519.97</v>
      </c>
      <c r="M56" s="34">
        <f>E56-K56</f>
        <v>170108.53999999998</v>
      </c>
      <c r="N56" s="63">
        <f t="shared" si="3"/>
        <v>296780.03</v>
      </c>
      <c r="O56" s="64">
        <v>0</v>
      </c>
      <c r="P56" s="65">
        <v>0</v>
      </c>
      <c r="Q56" s="1"/>
      <c r="R56" s="37"/>
    </row>
    <row r="57" spans="1:18" ht="29.25" customHeight="1" thickBot="1">
      <c r="A57" s="60" t="s">
        <v>87</v>
      </c>
      <c r="B57" s="411" t="s">
        <v>88</v>
      </c>
      <c r="C57" s="412"/>
      <c r="D57" s="413"/>
      <c r="E57" s="61"/>
      <c r="F57" s="31"/>
      <c r="G57" s="33"/>
      <c r="H57" s="33"/>
      <c r="I57" s="33"/>
      <c r="J57" s="33"/>
      <c r="K57" s="33">
        <f aca="true" t="shared" si="6" ref="K57:K62">0+G57</f>
        <v>0</v>
      </c>
      <c r="L57" s="33">
        <f t="shared" si="5"/>
        <v>0</v>
      </c>
      <c r="M57" s="34">
        <f aca="true" t="shared" si="7" ref="M57:N72">E57-K57</f>
        <v>0</v>
      </c>
      <c r="N57" s="63">
        <f t="shared" si="7"/>
        <v>0</v>
      </c>
      <c r="O57" s="64">
        <v>0</v>
      </c>
      <c r="P57" s="65">
        <v>0</v>
      </c>
      <c r="Q57" s="1"/>
      <c r="R57" s="37"/>
    </row>
    <row r="58" spans="1:18" ht="21" customHeight="1" thickBot="1">
      <c r="A58" s="60" t="s">
        <v>89</v>
      </c>
      <c r="B58" s="435" t="s">
        <v>55</v>
      </c>
      <c r="C58" s="436"/>
      <c r="D58" s="436"/>
      <c r="E58" s="82"/>
      <c r="F58" s="31"/>
      <c r="G58" s="33"/>
      <c r="H58" s="33"/>
      <c r="I58" s="33"/>
      <c r="J58" s="33"/>
      <c r="K58" s="33">
        <f t="shared" si="6"/>
        <v>0</v>
      </c>
      <c r="L58" s="33">
        <f t="shared" si="5"/>
        <v>0</v>
      </c>
      <c r="M58" s="34">
        <f t="shared" si="7"/>
        <v>0</v>
      </c>
      <c r="N58" s="63">
        <f t="shared" si="7"/>
        <v>0</v>
      </c>
      <c r="O58" s="64">
        <v>0</v>
      </c>
      <c r="P58" s="65">
        <v>0</v>
      </c>
      <c r="Q58" s="1"/>
      <c r="R58" s="37">
        <f>L60+L61+L62+L63+L64</f>
        <v>1749071.7599999998</v>
      </c>
    </row>
    <row r="59" spans="1:18" ht="34.5" customHeight="1" thickBot="1">
      <c r="A59" s="60" t="s">
        <v>90</v>
      </c>
      <c r="B59" s="383" t="s">
        <v>40</v>
      </c>
      <c r="C59" s="384"/>
      <c r="D59" s="385"/>
      <c r="E59" s="155">
        <v>9500</v>
      </c>
      <c r="F59" s="31">
        <f>73100+E59</f>
        <v>82600</v>
      </c>
      <c r="G59" s="33"/>
      <c r="H59" s="33"/>
      <c r="I59" s="33"/>
      <c r="J59" s="33">
        <f>J63+J64+J60</f>
        <v>13424.650000000001</v>
      </c>
      <c r="K59" s="33">
        <f>0+J59</f>
        <v>13424.650000000001</v>
      </c>
      <c r="L59" s="33">
        <f>68940.1+K59</f>
        <v>82364.75</v>
      </c>
      <c r="M59" s="34">
        <f t="shared" si="7"/>
        <v>-3924.6500000000015</v>
      </c>
      <c r="N59" s="63">
        <f t="shared" si="7"/>
        <v>235.25</v>
      </c>
      <c r="O59" s="64">
        <v>0</v>
      </c>
      <c r="P59" s="65">
        <v>0</v>
      </c>
      <c r="Q59" s="1"/>
      <c r="R59" s="37">
        <f>F60+F61+F63+F64</f>
        <v>2007900</v>
      </c>
    </row>
    <row r="60" spans="1:18" ht="24.75" customHeight="1" thickBot="1">
      <c r="A60" s="60" t="s">
        <v>91</v>
      </c>
      <c r="B60" s="437" t="s">
        <v>92</v>
      </c>
      <c r="C60" s="438"/>
      <c r="D60" s="439"/>
      <c r="E60" s="156">
        <v>90000</v>
      </c>
      <c r="F60" s="31">
        <f>610000+E60</f>
        <v>700000</v>
      </c>
      <c r="G60" s="74"/>
      <c r="H60" s="74"/>
      <c r="I60" s="74"/>
      <c r="J60" s="33"/>
      <c r="K60" s="33">
        <f>J60+G60</f>
        <v>0</v>
      </c>
      <c r="L60" s="33">
        <f>531383.22+K60</f>
        <v>531383.22</v>
      </c>
      <c r="M60" s="34">
        <f t="shared" si="7"/>
        <v>90000</v>
      </c>
      <c r="N60" s="35">
        <f t="shared" si="7"/>
        <v>168616.78000000003</v>
      </c>
      <c r="O60" s="64">
        <v>0</v>
      </c>
      <c r="P60" s="65">
        <v>0</v>
      </c>
      <c r="Q60" s="1"/>
      <c r="R60" s="80"/>
    </row>
    <row r="61" spans="1:18" ht="24.75" customHeight="1" thickBot="1">
      <c r="A61" s="60" t="s">
        <v>93</v>
      </c>
      <c r="B61" s="426" t="s">
        <v>94</v>
      </c>
      <c r="C61" s="427"/>
      <c r="D61" s="427"/>
      <c r="E61" s="152">
        <v>200000</v>
      </c>
      <c r="F61" s="31">
        <f>1000000+E61</f>
        <v>1200000</v>
      </c>
      <c r="G61" s="74">
        <v>121691.46</v>
      </c>
      <c r="H61" s="74"/>
      <c r="I61" s="74"/>
      <c r="J61" s="33"/>
      <c r="K61" s="33">
        <f>0+G61</f>
        <v>121691.46</v>
      </c>
      <c r="L61" s="33">
        <f>986172.22+K61</f>
        <v>1107863.68</v>
      </c>
      <c r="M61" s="34">
        <f t="shared" si="7"/>
        <v>78308.54</v>
      </c>
      <c r="N61" s="63">
        <f t="shared" si="7"/>
        <v>92136.32000000007</v>
      </c>
      <c r="O61" s="64">
        <v>0</v>
      </c>
      <c r="P61" s="65">
        <v>0</v>
      </c>
      <c r="Q61" s="1"/>
      <c r="R61" s="37"/>
    </row>
    <row r="62" spans="1:18" ht="23.25" customHeight="1" thickBot="1">
      <c r="A62" s="60" t="s">
        <v>93</v>
      </c>
      <c r="B62" s="440" t="s">
        <v>95</v>
      </c>
      <c r="C62" s="441"/>
      <c r="D62" s="442"/>
      <c r="E62" s="152"/>
      <c r="F62" s="31"/>
      <c r="G62" s="74"/>
      <c r="H62" s="74"/>
      <c r="I62" s="74"/>
      <c r="J62" s="33"/>
      <c r="K62" s="33">
        <f t="shared" si="6"/>
        <v>0</v>
      </c>
      <c r="L62" s="33">
        <f>0+K62</f>
        <v>0</v>
      </c>
      <c r="M62" s="34">
        <f t="shared" si="7"/>
        <v>0</v>
      </c>
      <c r="N62" s="63">
        <f t="shared" si="7"/>
        <v>0</v>
      </c>
      <c r="O62" s="64">
        <v>0</v>
      </c>
      <c r="P62" s="65">
        <v>0</v>
      </c>
      <c r="Q62" s="1"/>
      <c r="R62" s="1"/>
    </row>
    <row r="63" spans="1:18" ht="26.25" customHeight="1" thickBot="1">
      <c r="A63" s="60" t="s">
        <v>96</v>
      </c>
      <c r="B63" s="426" t="s">
        <v>97</v>
      </c>
      <c r="C63" s="427"/>
      <c r="D63" s="428"/>
      <c r="E63" s="152">
        <v>6000</v>
      </c>
      <c r="F63" s="31">
        <f>51300+E63</f>
        <v>57300</v>
      </c>
      <c r="G63" s="83"/>
      <c r="H63" s="84"/>
      <c r="I63" s="74"/>
      <c r="J63" s="74">
        <v>7170.84</v>
      </c>
      <c r="K63" s="33">
        <f>0+J63+G63</f>
        <v>7170.84</v>
      </c>
      <c r="L63" s="33">
        <f>51483.79+K63</f>
        <v>58654.630000000005</v>
      </c>
      <c r="M63" s="34">
        <f t="shared" si="7"/>
        <v>-1170.8400000000001</v>
      </c>
      <c r="N63" s="63">
        <f t="shared" si="7"/>
        <v>-1354.6300000000047</v>
      </c>
      <c r="O63" s="64">
        <v>0</v>
      </c>
      <c r="P63" s="65">
        <v>0</v>
      </c>
      <c r="Q63" s="1"/>
      <c r="R63" s="1"/>
    </row>
    <row r="64" spans="1:18" ht="30" customHeight="1" thickBot="1">
      <c r="A64" s="60" t="s">
        <v>98</v>
      </c>
      <c r="B64" s="426" t="s">
        <v>99</v>
      </c>
      <c r="C64" s="427"/>
      <c r="D64" s="428"/>
      <c r="E64" s="152">
        <v>5300</v>
      </c>
      <c r="F64" s="31">
        <f>45300+E64</f>
        <v>50600</v>
      </c>
      <c r="G64" s="83"/>
      <c r="H64" s="74"/>
      <c r="I64" s="74"/>
      <c r="J64" s="74">
        <v>6253.81</v>
      </c>
      <c r="K64" s="33">
        <f>0+J64+G64</f>
        <v>6253.81</v>
      </c>
      <c r="L64" s="33">
        <f>44916.42+K64</f>
        <v>51170.229999999996</v>
      </c>
      <c r="M64" s="34">
        <f t="shared" si="7"/>
        <v>-953.8100000000004</v>
      </c>
      <c r="N64" s="63">
        <f t="shared" si="7"/>
        <v>-570.2299999999959</v>
      </c>
      <c r="O64" s="64">
        <v>0</v>
      </c>
      <c r="P64" s="65">
        <v>0</v>
      </c>
      <c r="Q64" s="1"/>
      <c r="R64" s="1"/>
    </row>
    <row r="65" spans="1:18" ht="29.25" customHeight="1" thickBot="1">
      <c r="A65" s="86" t="s">
        <v>100</v>
      </c>
      <c r="B65" s="429" t="s">
        <v>101</v>
      </c>
      <c r="C65" s="430"/>
      <c r="D65" s="431"/>
      <c r="E65" s="53">
        <f>E66</f>
        <v>0</v>
      </c>
      <c r="F65" s="73">
        <f>F66+F67</f>
        <v>342500</v>
      </c>
      <c r="G65" s="75">
        <f>G66+G67</f>
        <v>0</v>
      </c>
      <c r="H65" s="55"/>
      <c r="I65" s="55">
        <f>I67</f>
        <v>0</v>
      </c>
      <c r="J65" s="55">
        <f>J66+J67</f>
        <v>0</v>
      </c>
      <c r="K65" s="55">
        <f>K66+K67</f>
        <v>0</v>
      </c>
      <c r="L65" s="55">
        <f>L66+L67</f>
        <v>60074</v>
      </c>
      <c r="M65" s="56">
        <f t="shared" si="7"/>
        <v>0</v>
      </c>
      <c r="N65" s="70">
        <f t="shared" si="7"/>
        <v>282426</v>
      </c>
      <c r="O65" s="58">
        <v>0</v>
      </c>
      <c r="P65" s="59">
        <v>0</v>
      </c>
      <c r="Q65" s="1"/>
      <c r="R65" s="1"/>
    </row>
    <row r="66" spans="1:18" ht="30.75" customHeight="1" thickBot="1">
      <c r="A66" s="60" t="s">
        <v>102</v>
      </c>
      <c r="B66" s="405" t="s">
        <v>53</v>
      </c>
      <c r="C66" s="406"/>
      <c r="D66" s="407"/>
      <c r="E66" s="45"/>
      <c r="F66" s="31">
        <f>342500+E66</f>
        <v>342500</v>
      </c>
      <c r="G66" s="74"/>
      <c r="H66" s="33"/>
      <c r="I66" s="33"/>
      <c r="J66" s="33"/>
      <c r="K66" s="33">
        <f>0+G66</f>
        <v>0</v>
      </c>
      <c r="L66" s="33">
        <f>60074+K66</f>
        <v>60074</v>
      </c>
      <c r="M66" s="34">
        <f t="shared" si="7"/>
        <v>0</v>
      </c>
      <c r="N66" s="35">
        <f t="shared" si="7"/>
        <v>282426</v>
      </c>
      <c r="O66" s="64">
        <v>0</v>
      </c>
      <c r="P66" s="65">
        <v>0</v>
      </c>
      <c r="Q66" s="1"/>
      <c r="R66" s="1"/>
    </row>
    <row r="67" spans="1:18" ht="25.5" customHeight="1" thickBot="1">
      <c r="A67" s="60" t="s">
        <v>103</v>
      </c>
      <c r="B67" s="435" t="s">
        <v>104</v>
      </c>
      <c r="C67" s="436"/>
      <c r="D67" s="490"/>
      <c r="E67" s="45"/>
      <c r="F67" s="31"/>
      <c r="G67" s="74"/>
      <c r="H67" s="33"/>
      <c r="I67" s="33"/>
      <c r="J67" s="33"/>
      <c r="K67" s="33">
        <f>0+I67</f>
        <v>0</v>
      </c>
      <c r="L67" s="33">
        <f>0+K67</f>
        <v>0</v>
      </c>
      <c r="M67" s="34">
        <f t="shared" si="7"/>
        <v>0</v>
      </c>
      <c r="N67" s="35">
        <f t="shared" si="7"/>
        <v>0</v>
      </c>
      <c r="O67" s="64">
        <v>0</v>
      </c>
      <c r="P67" s="65">
        <v>0</v>
      </c>
      <c r="Q67" s="1"/>
      <c r="R67" s="1"/>
    </row>
    <row r="68" spans="1:18" ht="34.5" customHeight="1" thickBot="1">
      <c r="A68" s="69" t="s">
        <v>105</v>
      </c>
      <c r="B68" s="423" t="s">
        <v>240</v>
      </c>
      <c r="C68" s="424"/>
      <c r="D68" s="425"/>
      <c r="E68" s="53">
        <f>E69</f>
        <v>0</v>
      </c>
      <c r="F68" s="73">
        <f>F69+F70+F71</f>
        <v>665000</v>
      </c>
      <c r="G68" s="75">
        <f>G69+G70</f>
        <v>0</v>
      </c>
      <c r="H68" s="55"/>
      <c r="I68" s="55"/>
      <c r="J68" s="55"/>
      <c r="K68" s="55">
        <f>K69+K70+K71</f>
        <v>0</v>
      </c>
      <c r="L68" s="55">
        <f>L69+L70+L71</f>
        <v>63728</v>
      </c>
      <c r="M68" s="56">
        <f t="shared" si="7"/>
        <v>0</v>
      </c>
      <c r="N68" s="70">
        <f t="shared" si="7"/>
        <v>601272</v>
      </c>
      <c r="O68" s="58">
        <v>0</v>
      </c>
      <c r="P68" s="59">
        <v>0</v>
      </c>
      <c r="Q68" s="1"/>
      <c r="R68" s="37"/>
    </row>
    <row r="69" spans="1:18" ht="27" customHeight="1" thickBot="1">
      <c r="A69" s="60" t="s">
        <v>107</v>
      </c>
      <c r="B69" s="446" t="s">
        <v>53</v>
      </c>
      <c r="C69" s="447"/>
      <c r="D69" s="448"/>
      <c r="E69" s="61"/>
      <c r="F69" s="31">
        <f>665000+E69</f>
        <v>665000</v>
      </c>
      <c r="G69" s="74"/>
      <c r="H69" s="33"/>
      <c r="I69" s="33"/>
      <c r="J69" s="33"/>
      <c r="K69" s="33">
        <f>G69</f>
        <v>0</v>
      </c>
      <c r="L69" s="33">
        <f>63728+K69</f>
        <v>63728</v>
      </c>
      <c r="M69" s="34">
        <f>E69-K69</f>
        <v>0</v>
      </c>
      <c r="N69" s="35">
        <f t="shared" si="7"/>
        <v>601272</v>
      </c>
      <c r="O69" s="64">
        <v>0</v>
      </c>
      <c r="P69" s="65">
        <v>0</v>
      </c>
      <c r="Q69" s="1"/>
      <c r="R69" s="37"/>
    </row>
    <row r="70" spans="1:18" ht="25.5" customHeight="1" thickBot="1">
      <c r="A70" s="60" t="s">
        <v>108</v>
      </c>
      <c r="B70" s="435" t="s">
        <v>104</v>
      </c>
      <c r="C70" s="436"/>
      <c r="D70" s="490"/>
      <c r="E70" s="61"/>
      <c r="F70" s="31"/>
      <c r="G70" s="74"/>
      <c r="H70" s="33"/>
      <c r="I70" s="33"/>
      <c r="J70" s="33"/>
      <c r="K70" s="33">
        <f>G70</f>
        <v>0</v>
      </c>
      <c r="L70" s="33">
        <f>0+K70</f>
        <v>0</v>
      </c>
      <c r="M70" s="34">
        <f t="shared" si="7"/>
        <v>0</v>
      </c>
      <c r="N70" s="35">
        <f t="shared" si="7"/>
        <v>0</v>
      </c>
      <c r="O70" s="64">
        <v>0</v>
      </c>
      <c r="P70" s="65">
        <v>0</v>
      </c>
      <c r="Q70" s="1"/>
      <c r="R70" s="37"/>
    </row>
    <row r="71" spans="1:18" ht="27.75" customHeight="1" thickBot="1">
      <c r="A71" s="60" t="s">
        <v>109</v>
      </c>
      <c r="B71" s="446" t="s">
        <v>55</v>
      </c>
      <c r="C71" s="447"/>
      <c r="D71" s="448"/>
      <c r="E71" s="81"/>
      <c r="F71" s="31"/>
      <c r="G71" s="74"/>
      <c r="H71" s="33"/>
      <c r="I71" s="33"/>
      <c r="J71" s="33"/>
      <c r="K71" s="33">
        <f>0+J71</f>
        <v>0</v>
      </c>
      <c r="L71" s="33">
        <f>0+K71</f>
        <v>0</v>
      </c>
      <c r="M71" s="34">
        <f t="shared" si="7"/>
        <v>0</v>
      </c>
      <c r="N71" s="35">
        <f t="shared" si="7"/>
        <v>0</v>
      </c>
      <c r="O71" s="64">
        <v>0</v>
      </c>
      <c r="P71" s="65">
        <v>0</v>
      </c>
      <c r="Q71" s="1"/>
      <c r="R71" s="37"/>
    </row>
    <row r="72" spans="1:18" ht="31.5" customHeight="1" thickBot="1">
      <c r="A72" s="87" t="s">
        <v>110</v>
      </c>
      <c r="B72" s="443" t="s">
        <v>111</v>
      </c>
      <c r="C72" s="444"/>
      <c r="D72" s="445"/>
      <c r="E72" s="53">
        <f>E73+E74</f>
        <v>3000</v>
      </c>
      <c r="F72" s="73">
        <f>F73</f>
        <v>28500</v>
      </c>
      <c r="G72" s="75">
        <f>G73+G74</f>
        <v>2405</v>
      </c>
      <c r="H72" s="55"/>
      <c r="I72" s="55"/>
      <c r="J72" s="55"/>
      <c r="K72" s="55">
        <f>G72</f>
        <v>2405</v>
      </c>
      <c r="L72" s="55">
        <f>L73+L74</f>
        <v>37581</v>
      </c>
      <c r="M72" s="56">
        <f t="shared" si="7"/>
        <v>595</v>
      </c>
      <c r="N72" s="70">
        <f t="shared" si="7"/>
        <v>-9081</v>
      </c>
      <c r="O72" s="58">
        <v>0</v>
      </c>
      <c r="P72" s="59">
        <v>0</v>
      </c>
      <c r="Q72" s="1"/>
      <c r="R72" s="1"/>
    </row>
    <row r="73" spans="1:18" ht="33" customHeight="1" thickBot="1">
      <c r="A73" s="60" t="s">
        <v>107</v>
      </c>
      <c r="B73" s="405" t="s">
        <v>53</v>
      </c>
      <c r="C73" s="406"/>
      <c r="D73" s="407"/>
      <c r="E73" s="61">
        <v>3000</v>
      </c>
      <c r="F73" s="31">
        <f>25500+E73</f>
        <v>28500</v>
      </c>
      <c r="G73" s="74">
        <v>2405</v>
      </c>
      <c r="H73" s="33"/>
      <c r="I73" s="33"/>
      <c r="J73" s="33"/>
      <c r="K73" s="33">
        <f>G73</f>
        <v>2405</v>
      </c>
      <c r="L73" s="33">
        <f>35176+K73</f>
        <v>37581</v>
      </c>
      <c r="M73" s="34">
        <f aca="true" t="shared" si="8" ref="M73:N83">E73-K73</f>
        <v>595</v>
      </c>
      <c r="N73" s="35">
        <f t="shared" si="8"/>
        <v>-9081</v>
      </c>
      <c r="O73" s="64">
        <v>0</v>
      </c>
      <c r="P73" s="65">
        <v>0</v>
      </c>
      <c r="Q73" s="1"/>
      <c r="R73" s="1"/>
    </row>
    <row r="74" spans="1:18" ht="27" customHeight="1" thickBot="1">
      <c r="A74" s="60" t="s">
        <v>109</v>
      </c>
      <c r="B74" s="405" t="s">
        <v>55</v>
      </c>
      <c r="C74" s="406"/>
      <c r="D74" s="407"/>
      <c r="E74" s="81"/>
      <c r="F74" s="31"/>
      <c r="G74" s="74"/>
      <c r="H74" s="33"/>
      <c r="I74" s="33"/>
      <c r="J74" s="33"/>
      <c r="K74" s="33">
        <f>0+J74</f>
        <v>0</v>
      </c>
      <c r="L74" s="33">
        <f>0+K74</f>
        <v>0</v>
      </c>
      <c r="M74" s="34">
        <f t="shared" si="8"/>
        <v>0</v>
      </c>
      <c r="N74" s="35">
        <f t="shared" si="8"/>
        <v>0</v>
      </c>
      <c r="O74" s="64">
        <v>0</v>
      </c>
      <c r="P74" s="65">
        <v>0</v>
      </c>
      <c r="Q74" s="1"/>
      <c r="R74" s="1"/>
    </row>
    <row r="75" spans="1:18" ht="51" customHeight="1" thickBot="1">
      <c r="A75" s="87" t="s">
        <v>112</v>
      </c>
      <c r="B75" s="443" t="s">
        <v>113</v>
      </c>
      <c r="C75" s="444"/>
      <c r="D75" s="445"/>
      <c r="E75" s="53">
        <f>E76</f>
        <v>5000</v>
      </c>
      <c r="F75" s="73">
        <f>F76+F77</f>
        <v>232000</v>
      </c>
      <c r="G75" s="75">
        <f>G76+G77+G78</f>
        <v>7420</v>
      </c>
      <c r="H75" s="55"/>
      <c r="I75" s="55">
        <f>I76+I77</f>
        <v>0</v>
      </c>
      <c r="J75" s="55"/>
      <c r="K75" s="55">
        <f>K76+K77+K78</f>
        <v>7420</v>
      </c>
      <c r="L75" s="55">
        <f>L76+L77+L78</f>
        <v>131251.49</v>
      </c>
      <c r="M75" s="56">
        <f t="shared" si="8"/>
        <v>-2420</v>
      </c>
      <c r="N75" s="70">
        <f t="shared" si="8"/>
        <v>100748.51000000001</v>
      </c>
      <c r="O75" s="58">
        <v>0</v>
      </c>
      <c r="P75" s="59">
        <v>0</v>
      </c>
      <c r="Q75" s="1"/>
      <c r="R75" s="1"/>
    </row>
    <row r="76" spans="1:18" ht="31.5" customHeight="1" thickBot="1">
      <c r="A76" s="60" t="s">
        <v>114</v>
      </c>
      <c r="B76" s="405" t="s">
        <v>53</v>
      </c>
      <c r="C76" s="406"/>
      <c r="D76" s="407"/>
      <c r="E76" s="61">
        <v>5000</v>
      </c>
      <c r="F76" s="31">
        <f>227000+E76</f>
        <v>232000</v>
      </c>
      <c r="G76" s="74">
        <v>7420</v>
      </c>
      <c r="H76" s="33"/>
      <c r="I76" s="33"/>
      <c r="J76" s="33"/>
      <c r="K76" s="33">
        <f>G76</f>
        <v>7420</v>
      </c>
      <c r="L76" s="33">
        <f>123831.49+K76</f>
        <v>131251.49</v>
      </c>
      <c r="M76" s="34">
        <f>E76-K76</f>
        <v>-2420</v>
      </c>
      <c r="N76" s="35">
        <f t="shared" si="8"/>
        <v>100748.51000000001</v>
      </c>
      <c r="O76" s="64">
        <v>0</v>
      </c>
      <c r="P76" s="65">
        <v>0</v>
      </c>
      <c r="Q76" s="1"/>
      <c r="R76" s="1"/>
    </row>
    <row r="77" spans="1:18" ht="24.75" customHeight="1" thickBot="1">
      <c r="A77" s="60" t="s">
        <v>115</v>
      </c>
      <c r="B77" s="435" t="s">
        <v>104</v>
      </c>
      <c r="C77" s="436"/>
      <c r="D77" s="490"/>
      <c r="E77" s="81"/>
      <c r="F77" s="31"/>
      <c r="G77" s="74"/>
      <c r="H77" s="33"/>
      <c r="I77" s="33"/>
      <c r="J77" s="33"/>
      <c r="K77" s="33">
        <f>I77</f>
        <v>0</v>
      </c>
      <c r="L77" s="33">
        <f>0+K77</f>
        <v>0</v>
      </c>
      <c r="M77" s="34">
        <f t="shared" si="8"/>
        <v>0</v>
      </c>
      <c r="N77" s="35">
        <f t="shared" si="8"/>
        <v>0</v>
      </c>
      <c r="O77" s="64">
        <v>0</v>
      </c>
      <c r="P77" s="65">
        <v>0</v>
      </c>
      <c r="Q77" s="1"/>
      <c r="R77" s="1"/>
    </row>
    <row r="78" spans="1:18" ht="33.75" customHeight="1" thickBot="1">
      <c r="A78" s="60" t="s">
        <v>116</v>
      </c>
      <c r="B78" s="405" t="s">
        <v>55</v>
      </c>
      <c r="C78" s="406"/>
      <c r="D78" s="407"/>
      <c r="E78" s="61"/>
      <c r="F78" s="31"/>
      <c r="G78" s="74"/>
      <c r="H78" s="33"/>
      <c r="I78" s="33"/>
      <c r="J78" s="33"/>
      <c r="K78" s="33">
        <f>0+J78</f>
        <v>0</v>
      </c>
      <c r="L78" s="33">
        <f>0+K78</f>
        <v>0</v>
      </c>
      <c r="M78" s="34">
        <f t="shared" si="8"/>
        <v>0</v>
      </c>
      <c r="N78" s="35">
        <f t="shared" si="8"/>
        <v>0</v>
      </c>
      <c r="O78" s="64">
        <v>0</v>
      </c>
      <c r="P78" s="65">
        <v>0</v>
      </c>
      <c r="Q78" s="1"/>
      <c r="R78" s="1"/>
    </row>
    <row r="79" spans="1:18" ht="29.25" customHeight="1" thickBot="1">
      <c r="A79" s="69" t="s">
        <v>117</v>
      </c>
      <c r="B79" s="408" t="s">
        <v>118</v>
      </c>
      <c r="C79" s="409"/>
      <c r="D79" s="410"/>
      <c r="E79" s="53">
        <f>E80</f>
        <v>0</v>
      </c>
      <c r="F79" s="73">
        <f>F80</f>
        <v>3500</v>
      </c>
      <c r="G79" s="75">
        <f>G80</f>
        <v>0</v>
      </c>
      <c r="H79" s="55"/>
      <c r="I79" s="55"/>
      <c r="J79" s="55"/>
      <c r="K79" s="55">
        <f>0+J79+G79</f>
        <v>0</v>
      </c>
      <c r="L79" s="55">
        <f>L80</f>
        <v>3458</v>
      </c>
      <c r="M79" s="56">
        <f t="shared" si="8"/>
        <v>0</v>
      </c>
      <c r="N79" s="70">
        <f t="shared" si="8"/>
        <v>42</v>
      </c>
      <c r="O79" s="58">
        <v>0</v>
      </c>
      <c r="P79" s="59">
        <v>0</v>
      </c>
      <c r="Q79" s="1"/>
      <c r="R79" s="1"/>
    </row>
    <row r="80" spans="1:18" ht="32.25" customHeight="1" thickBot="1">
      <c r="A80" s="60" t="s">
        <v>119</v>
      </c>
      <c r="B80" s="405" t="s">
        <v>53</v>
      </c>
      <c r="C80" s="406"/>
      <c r="D80" s="407"/>
      <c r="E80" s="81"/>
      <c r="F80" s="31">
        <f>3500+E80</f>
        <v>3500</v>
      </c>
      <c r="G80" s="74"/>
      <c r="H80" s="33"/>
      <c r="I80" s="33"/>
      <c r="J80" s="33"/>
      <c r="K80" s="33">
        <f>0+J80+G80</f>
        <v>0</v>
      </c>
      <c r="L80" s="33">
        <f>3458+K80</f>
        <v>3458</v>
      </c>
      <c r="M80" s="34">
        <f>E80-K80</f>
        <v>0</v>
      </c>
      <c r="N80" s="35">
        <f t="shared" si="8"/>
        <v>42</v>
      </c>
      <c r="O80" s="64">
        <v>0</v>
      </c>
      <c r="P80" s="65">
        <v>0</v>
      </c>
      <c r="Q80" s="1"/>
      <c r="R80" s="1"/>
    </row>
    <row r="81" spans="1:18" ht="26.25" customHeight="1" thickBot="1">
      <c r="A81" s="69" t="s">
        <v>120</v>
      </c>
      <c r="B81" s="408" t="s">
        <v>121</v>
      </c>
      <c r="C81" s="409"/>
      <c r="D81" s="410"/>
      <c r="E81" s="53">
        <f>E82</f>
        <v>0</v>
      </c>
      <c r="F81" s="73">
        <f>F82</f>
        <v>37000</v>
      </c>
      <c r="G81" s="75">
        <f>G82</f>
        <v>17295.3</v>
      </c>
      <c r="H81" s="55"/>
      <c r="I81" s="55"/>
      <c r="J81" s="55"/>
      <c r="K81" s="55">
        <f>0+J81+G81</f>
        <v>17295.3</v>
      </c>
      <c r="L81" s="55">
        <f>L82+L83</f>
        <v>29888.28</v>
      </c>
      <c r="M81" s="56">
        <f t="shared" si="8"/>
        <v>-17295.3</v>
      </c>
      <c r="N81" s="70">
        <f t="shared" si="8"/>
        <v>7111.720000000001</v>
      </c>
      <c r="O81" s="58">
        <v>0</v>
      </c>
      <c r="P81" s="59">
        <v>0</v>
      </c>
      <c r="Q81" s="1"/>
      <c r="R81" s="1"/>
    </row>
    <row r="82" spans="1:18" ht="30" customHeight="1" thickBot="1">
      <c r="A82" s="60" t="s">
        <v>122</v>
      </c>
      <c r="B82" s="411" t="s">
        <v>53</v>
      </c>
      <c r="C82" s="412"/>
      <c r="D82" s="413"/>
      <c r="E82" s="81"/>
      <c r="F82" s="31">
        <f>37000+E82</f>
        <v>37000</v>
      </c>
      <c r="G82" s="89">
        <v>17295.3</v>
      </c>
      <c r="H82" s="90"/>
      <c r="I82" s="91"/>
      <c r="J82" s="90"/>
      <c r="K82" s="33">
        <f>0+J82+G82</f>
        <v>17295.3</v>
      </c>
      <c r="L82" s="33">
        <f>12592.98+K82</f>
        <v>29888.28</v>
      </c>
      <c r="M82" s="34">
        <f t="shared" si="8"/>
        <v>-17295.3</v>
      </c>
      <c r="N82" s="35">
        <f t="shared" si="8"/>
        <v>7111.720000000001</v>
      </c>
      <c r="O82" s="64">
        <v>0</v>
      </c>
      <c r="P82" s="65">
        <v>0</v>
      </c>
      <c r="Q82" s="1"/>
      <c r="R82" s="1"/>
    </row>
    <row r="83" spans="1:18" ht="26.25" customHeight="1" thickBot="1">
      <c r="A83" s="60" t="s">
        <v>123</v>
      </c>
      <c r="B83" s="435" t="s">
        <v>55</v>
      </c>
      <c r="C83" s="436"/>
      <c r="D83" s="490"/>
      <c r="E83" s="81"/>
      <c r="F83" s="33"/>
      <c r="G83" s="74"/>
      <c r="H83" s="92"/>
      <c r="I83" s="33"/>
      <c r="J83" s="92"/>
      <c r="K83" s="33">
        <f>0+J83</f>
        <v>0</v>
      </c>
      <c r="L83" s="33">
        <v>0</v>
      </c>
      <c r="M83" s="34">
        <f>E83-K83</f>
        <v>0</v>
      </c>
      <c r="N83" s="35">
        <f t="shared" si="8"/>
        <v>0</v>
      </c>
      <c r="O83" s="64">
        <v>0</v>
      </c>
      <c r="P83" s="65">
        <v>0</v>
      </c>
      <c r="Q83" s="1"/>
      <c r="R83" s="1"/>
    </row>
    <row r="84" spans="1:18" ht="15.75" thickBot="1">
      <c r="A84" s="449"/>
      <c r="B84" s="364" t="s">
        <v>14</v>
      </c>
      <c r="C84" s="365"/>
      <c r="D84" s="366"/>
      <c r="E84" s="401" t="s">
        <v>24</v>
      </c>
      <c r="F84" s="403" t="s">
        <v>25</v>
      </c>
      <c r="G84" s="338" t="s">
        <v>44</v>
      </c>
      <c r="H84" s="321"/>
      <c r="I84" s="321"/>
      <c r="J84" s="321"/>
      <c r="K84" s="339"/>
      <c r="L84" s="340" t="s">
        <v>16</v>
      </c>
      <c r="M84" s="340" t="s">
        <v>17</v>
      </c>
      <c r="N84" s="340" t="s">
        <v>18</v>
      </c>
      <c r="O84" s="340" t="s">
        <v>19</v>
      </c>
      <c r="P84" s="340" t="s">
        <v>20</v>
      </c>
      <c r="Q84" s="1"/>
      <c r="R84" s="1"/>
    </row>
    <row r="85" spans="1:18" ht="83.25" customHeight="1" thickBot="1">
      <c r="A85" s="450"/>
      <c r="B85" s="367"/>
      <c r="C85" s="368"/>
      <c r="D85" s="369"/>
      <c r="E85" s="402"/>
      <c r="F85" s="404"/>
      <c r="G85" s="293" t="s">
        <v>45</v>
      </c>
      <c r="H85" s="293" t="s">
        <v>46</v>
      </c>
      <c r="I85" s="293" t="s">
        <v>47</v>
      </c>
      <c r="J85" s="7" t="s">
        <v>124</v>
      </c>
      <c r="K85" s="8" t="s">
        <v>27</v>
      </c>
      <c r="L85" s="341"/>
      <c r="M85" s="341"/>
      <c r="N85" s="341"/>
      <c r="O85" s="341"/>
      <c r="P85" s="341"/>
      <c r="Q85" s="1"/>
      <c r="R85" s="298" t="s">
        <v>243</v>
      </c>
    </row>
    <row r="86" spans="1:18" ht="15.75" thickBot="1">
      <c r="A86" s="60"/>
      <c r="B86" s="342">
        <v>1</v>
      </c>
      <c r="C86" s="343"/>
      <c r="D86" s="344"/>
      <c r="E86" s="17" t="s">
        <v>22</v>
      </c>
      <c r="F86" s="293">
        <v>3</v>
      </c>
      <c r="G86" s="293">
        <v>4</v>
      </c>
      <c r="H86" s="293">
        <v>5</v>
      </c>
      <c r="I86" s="7">
        <v>6</v>
      </c>
      <c r="J86" s="7">
        <v>7</v>
      </c>
      <c r="K86" s="48">
        <v>8</v>
      </c>
      <c r="L86" s="290">
        <v>9</v>
      </c>
      <c r="M86" s="7">
        <v>10</v>
      </c>
      <c r="N86" s="290">
        <v>11</v>
      </c>
      <c r="O86" s="7">
        <v>12</v>
      </c>
      <c r="P86" s="290">
        <v>13</v>
      </c>
      <c r="Q86" s="1"/>
      <c r="R86" s="1"/>
    </row>
    <row r="87" spans="1:18" ht="48.75" customHeight="1" thickBot="1">
      <c r="A87" s="51" t="s">
        <v>125</v>
      </c>
      <c r="B87" s="408" t="s">
        <v>126</v>
      </c>
      <c r="C87" s="409"/>
      <c r="D87" s="410"/>
      <c r="E87" s="53">
        <f>E88</f>
        <v>29380</v>
      </c>
      <c r="F87" s="73">
        <f>F88+F89+F90+F91</f>
        <v>333180</v>
      </c>
      <c r="G87" s="53">
        <f>G88+G89+G90+G91</f>
        <v>27769.699999999997</v>
      </c>
      <c r="H87" s="55"/>
      <c r="I87" s="55">
        <f>I88+I89+I90</f>
        <v>0</v>
      </c>
      <c r="J87" s="55">
        <f>J91</f>
        <v>43.5</v>
      </c>
      <c r="K87" s="93">
        <f>K88+K89+K90+K91</f>
        <v>27813.199999999997</v>
      </c>
      <c r="L87" s="55">
        <f>L88+L89+L90+L91</f>
        <v>299602.97000000003</v>
      </c>
      <c r="M87" s="56">
        <f aca="true" t="shared" si="9" ref="M87:N102">E87-K87</f>
        <v>1566.800000000003</v>
      </c>
      <c r="N87" s="70">
        <f t="shared" si="9"/>
        <v>33577.02999999997</v>
      </c>
      <c r="O87" s="58">
        <v>0</v>
      </c>
      <c r="P87" s="59">
        <v>0</v>
      </c>
      <c r="Q87" s="37"/>
      <c r="R87" s="1"/>
    </row>
    <row r="88" spans="1:18" ht="35.25" customHeight="1" thickBot="1">
      <c r="A88" s="60" t="s">
        <v>127</v>
      </c>
      <c r="B88" s="405" t="s">
        <v>53</v>
      </c>
      <c r="C88" s="406"/>
      <c r="D88" s="407"/>
      <c r="E88" s="61">
        <f>E92+E93+E95+E96+E97+E99+E98+E94</f>
        <v>29380</v>
      </c>
      <c r="F88" s="31">
        <f>303800+E88</f>
        <v>333180</v>
      </c>
      <c r="G88" s="45">
        <f>G93+G95+G96+G97+G92+G99+G94+G98</f>
        <v>27769.699999999997</v>
      </c>
      <c r="H88" s="33"/>
      <c r="I88" s="33"/>
      <c r="J88" s="33"/>
      <c r="K88" s="94">
        <f>G88</f>
        <v>27769.699999999997</v>
      </c>
      <c r="L88" s="33">
        <f>271789.77+K88</f>
        <v>299559.47000000003</v>
      </c>
      <c r="M88" s="34">
        <f t="shared" si="9"/>
        <v>1610.300000000003</v>
      </c>
      <c r="N88" s="35">
        <f t="shared" si="9"/>
        <v>33620.52999999997</v>
      </c>
      <c r="O88" s="64">
        <v>0</v>
      </c>
      <c r="P88" s="65">
        <v>0</v>
      </c>
      <c r="Q88" s="37"/>
      <c r="R88" s="1"/>
    </row>
    <row r="89" spans="1:18" ht="28.5" customHeight="1" thickBot="1">
      <c r="A89" s="60" t="s">
        <v>128</v>
      </c>
      <c r="B89" s="457" t="s">
        <v>51</v>
      </c>
      <c r="C89" s="458"/>
      <c r="D89" s="459"/>
      <c r="E89" s="61"/>
      <c r="F89" s="31"/>
      <c r="G89" s="45"/>
      <c r="H89" s="33"/>
      <c r="I89" s="33"/>
      <c r="J89" s="33"/>
      <c r="K89" s="94">
        <f aca="true" t="shared" si="10" ref="K89:K98">G89</f>
        <v>0</v>
      </c>
      <c r="L89" s="33"/>
      <c r="M89" s="34">
        <f t="shared" si="9"/>
        <v>0</v>
      </c>
      <c r="N89" s="35">
        <f t="shared" si="9"/>
        <v>0</v>
      </c>
      <c r="O89" s="64">
        <v>0</v>
      </c>
      <c r="P89" s="65">
        <v>0</v>
      </c>
      <c r="Q89" s="37"/>
      <c r="R89" s="1"/>
    </row>
    <row r="90" spans="1:18" ht="31.5" customHeight="1" thickBot="1">
      <c r="A90" s="60" t="s">
        <v>129</v>
      </c>
      <c r="B90" s="405" t="s">
        <v>104</v>
      </c>
      <c r="C90" s="406"/>
      <c r="D90" s="407"/>
      <c r="E90" s="61"/>
      <c r="F90" s="31"/>
      <c r="G90" s="45"/>
      <c r="H90" s="33"/>
      <c r="I90" s="33">
        <f>I96</f>
        <v>0</v>
      </c>
      <c r="J90" s="33"/>
      <c r="K90" s="94">
        <f>I90</f>
        <v>0</v>
      </c>
      <c r="L90" s="33">
        <f>0+K90</f>
        <v>0</v>
      </c>
      <c r="M90" s="34">
        <f t="shared" si="9"/>
        <v>0</v>
      </c>
      <c r="N90" s="35">
        <f t="shared" si="9"/>
        <v>0</v>
      </c>
      <c r="O90" s="64">
        <v>0</v>
      </c>
      <c r="P90" s="65">
        <v>0</v>
      </c>
      <c r="Q90" s="37"/>
      <c r="R90" s="1"/>
    </row>
    <row r="91" spans="1:18" ht="29.25" customHeight="1" thickBot="1">
      <c r="A91" s="60" t="s">
        <v>130</v>
      </c>
      <c r="B91" s="405" t="s">
        <v>55</v>
      </c>
      <c r="C91" s="406"/>
      <c r="D91" s="407"/>
      <c r="E91" s="61"/>
      <c r="F91" s="31"/>
      <c r="G91" s="45"/>
      <c r="H91" s="33"/>
      <c r="I91" s="33"/>
      <c r="J91" s="33">
        <f>J96</f>
        <v>43.5</v>
      </c>
      <c r="K91" s="94">
        <f>J91</f>
        <v>43.5</v>
      </c>
      <c r="L91" s="33">
        <f>0+K91</f>
        <v>43.5</v>
      </c>
      <c r="M91" s="34">
        <f t="shared" si="9"/>
        <v>-43.5</v>
      </c>
      <c r="N91" s="35">
        <f t="shared" si="9"/>
        <v>-43.5</v>
      </c>
      <c r="O91" s="64">
        <v>0</v>
      </c>
      <c r="P91" s="65">
        <v>0</v>
      </c>
      <c r="Q91" s="37"/>
      <c r="R91" s="80">
        <f>L92+L93+L94+L95+L96+L97+L98+L99</f>
        <v>299602.97000000003</v>
      </c>
    </row>
    <row r="92" spans="1:18" ht="22.5" customHeight="1" thickBot="1">
      <c r="A92" s="60" t="s">
        <v>131</v>
      </c>
      <c r="B92" s="420" t="s">
        <v>132</v>
      </c>
      <c r="C92" s="421"/>
      <c r="D92" s="422"/>
      <c r="E92" s="152">
        <v>3150</v>
      </c>
      <c r="F92" s="31">
        <f>25200+E92</f>
        <v>28350</v>
      </c>
      <c r="G92" s="45">
        <v>3000</v>
      </c>
      <c r="H92" s="74"/>
      <c r="I92" s="74"/>
      <c r="J92" s="74"/>
      <c r="K92" s="94">
        <f t="shared" si="10"/>
        <v>3000</v>
      </c>
      <c r="L92" s="33">
        <f>30000+K92</f>
        <v>33000</v>
      </c>
      <c r="M92" s="34">
        <f t="shared" si="9"/>
        <v>150</v>
      </c>
      <c r="N92" s="35">
        <f t="shared" si="9"/>
        <v>-4650</v>
      </c>
      <c r="O92" s="64">
        <v>0</v>
      </c>
      <c r="P92" s="65">
        <v>0</v>
      </c>
      <c r="Q92" s="1"/>
      <c r="R92" s="37">
        <f>L88+L89+L90+L91</f>
        <v>299602.97000000003</v>
      </c>
    </row>
    <row r="93" spans="1:18" ht="28.5" customHeight="1" thickBot="1">
      <c r="A93" s="60" t="s">
        <v>133</v>
      </c>
      <c r="B93" s="420" t="s">
        <v>134</v>
      </c>
      <c r="C93" s="421"/>
      <c r="D93" s="422"/>
      <c r="E93" s="156">
        <v>4600</v>
      </c>
      <c r="F93" s="31">
        <f>36800+E93</f>
        <v>41400</v>
      </c>
      <c r="G93" s="45">
        <v>1600</v>
      </c>
      <c r="H93" s="74"/>
      <c r="I93" s="74"/>
      <c r="J93" s="74"/>
      <c r="K93" s="94">
        <f>G93</f>
        <v>1600</v>
      </c>
      <c r="L93" s="33">
        <f>31200+K93</f>
        <v>32800</v>
      </c>
      <c r="M93" s="34">
        <f t="shared" si="9"/>
        <v>3000</v>
      </c>
      <c r="N93" s="35">
        <f t="shared" si="9"/>
        <v>8600</v>
      </c>
      <c r="O93" s="64">
        <v>0</v>
      </c>
      <c r="P93" s="65">
        <v>0</v>
      </c>
      <c r="Q93" s="1"/>
      <c r="R93" s="1"/>
    </row>
    <row r="94" spans="1:18" ht="25.5" customHeight="1" thickBot="1">
      <c r="A94" s="60" t="s">
        <v>135</v>
      </c>
      <c r="B94" s="420" t="s">
        <v>136</v>
      </c>
      <c r="C94" s="421"/>
      <c r="D94" s="422"/>
      <c r="E94" s="152"/>
      <c r="F94" s="31">
        <f>0+E94</f>
        <v>0</v>
      </c>
      <c r="G94" s="45"/>
      <c r="H94" s="74"/>
      <c r="I94" s="74"/>
      <c r="J94" s="74"/>
      <c r="K94" s="94">
        <f t="shared" si="10"/>
        <v>0</v>
      </c>
      <c r="L94" s="33">
        <f>12301.32+K94</f>
        <v>12301.32</v>
      </c>
      <c r="M94" s="34">
        <f t="shared" si="9"/>
        <v>0</v>
      </c>
      <c r="N94" s="35">
        <f t="shared" si="9"/>
        <v>-12301.32</v>
      </c>
      <c r="O94" s="64">
        <v>0</v>
      </c>
      <c r="P94" s="65">
        <v>0</v>
      </c>
      <c r="Q94" s="1"/>
      <c r="R94" s="80">
        <f>L92+L93+L94+L95+L96+L97+L98+L99</f>
        <v>299602.97000000003</v>
      </c>
    </row>
    <row r="95" spans="1:18" ht="24.75" customHeight="1" thickBot="1">
      <c r="A95" s="60" t="s">
        <v>137</v>
      </c>
      <c r="B95" s="420" t="s">
        <v>138</v>
      </c>
      <c r="C95" s="421"/>
      <c r="D95" s="422"/>
      <c r="E95" s="152">
        <v>1420</v>
      </c>
      <c r="F95" s="31">
        <f>11360+E95</f>
        <v>12780</v>
      </c>
      <c r="G95" s="45">
        <v>975</v>
      </c>
      <c r="H95" s="74"/>
      <c r="I95" s="74"/>
      <c r="J95" s="74"/>
      <c r="K95" s="94">
        <f t="shared" si="10"/>
        <v>975</v>
      </c>
      <c r="L95" s="33">
        <f>10685+K95</f>
        <v>11660</v>
      </c>
      <c r="M95" s="34">
        <f t="shared" si="9"/>
        <v>445</v>
      </c>
      <c r="N95" s="35">
        <f t="shared" si="9"/>
        <v>1120</v>
      </c>
      <c r="O95" s="64">
        <v>0</v>
      </c>
      <c r="P95" s="65">
        <v>0</v>
      </c>
      <c r="Q95" s="1"/>
      <c r="R95" s="1"/>
    </row>
    <row r="96" spans="1:18" ht="23.25" customHeight="1" thickBot="1">
      <c r="A96" s="60" t="s">
        <v>139</v>
      </c>
      <c r="B96" s="420" t="s">
        <v>140</v>
      </c>
      <c r="C96" s="421"/>
      <c r="D96" s="422"/>
      <c r="E96" s="152">
        <v>7500</v>
      </c>
      <c r="F96" s="31">
        <f>54000+E96</f>
        <v>61500</v>
      </c>
      <c r="G96" s="45">
        <v>6277.94</v>
      </c>
      <c r="H96" s="74"/>
      <c r="I96" s="74"/>
      <c r="J96" s="74">
        <v>43.5</v>
      </c>
      <c r="K96" s="94">
        <f>G96+I96+J96</f>
        <v>6321.44</v>
      </c>
      <c r="L96" s="33">
        <f>57746.39+K96</f>
        <v>64067.83</v>
      </c>
      <c r="M96" s="34">
        <f t="shared" si="9"/>
        <v>1178.5600000000004</v>
      </c>
      <c r="N96" s="35">
        <f t="shared" si="9"/>
        <v>-2567.8300000000017</v>
      </c>
      <c r="O96" s="64">
        <v>0</v>
      </c>
      <c r="P96" s="65">
        <v>0</v>
      </c>
      <c r="Q96" s="1"/>
      <c r="R96" s="71">
        <f>F92+F93+F94+F95+F96+F97+F98+F99</f>
        <v>264620</v>
      </c>
    </row>
    <row r="97" spans="1:16" ht="22.5" customHeight="1" thickBot="1">
      <c r="A97" s="60" t="s">
        <v>141</v>
      </c>
      <c r="B97" s="491" t="s">
        <v>142</v>
      </c>
      <c r="C97" s="492"/>
      <c r="D97" s="493"/>
      <c r="E97" s="152">
        <v>2910</v>
      </c>
      <c r="F97" s="31">
        <f>23280+E97</f>
        <v>26190</v>
      </c>
      <c r="G97" s="45"/>
      <c r="H97" s="74"/>
      <c r="I97" s="74"/>
      <c r="J97" s="74"/>
      <c r="K97" s="94">
        <f t="shared" si="10"/>
        <v>0</v>
      </c>
      <c r="L97" s="33">
        <f>27044+K97</f>
        <v>27044</v>
      </c>
      <c r="M97" s="34">
        <f t="shared" si="9"/>
        <v>2910</v>
      </c>
      <c r="N97" s="35">
        <f t="shared" si="9"/>
        <v>-854</v>
      </c>
      <c r="O97" s="64">
        <v>0</v>
      </c>
      <c r="P97" s="65">
        <v>0</v>
      </c>
    </row>
    <row r="98" spans="1:16" ht="27.75" customHeight="1" thickBot="1">
      <c r="A98" s="60" t="s">
        <v>143</v>
      </c>
      <c r="B98" s="420" t="s">
        <v>144</v>
      </c>
      <c r="C98" s="421"/>
      <c r="D98" s="422"/>
      <c r="E98" s="152"/>
      <c r="F98" s="31">
        <f>16000+E98</f>
        <v>16000</v>
      </c>
      <c r="G98" s="45">
        <v>6546</v>
      </c>
      <c r="H98" s="74"/>
      <c r="I98" s="74"/>
      <c r="J98" s="74"/>
      <c r="K98" s="94">
        <f t="shared" si="10"/>
        <v>6546</v>
      </c>
      <c r="L98" s="33">
        <f>5000+K98</f>
        <v>11546</v>
      </c>
      <c r="M98" s="34">
        <f t="shared" si="9"/>
        <v>-6546</v>
      </c>
      <c r="N98" s="35">
        <f t="shared" si="9"/>
        <v>4454</v>
      </c>
      <c r="O98" s="64">
        <v>0</v>
      </c>
      <c r="P98" s="65">
        <v>0</v>
      </c>
    </row>
    <row r="99" spans="1:16" ht="27.75" customHeight="1" thickBot="1">
      <c r="A99" s="60" t="s">
        <v>145</v>
      </c>
      <c r="B99" s="420" t="s">
        <v>146</v>
      </c>
      <c r="C99" s="421"/>
      <c r="D99" s="422"/>
      <c r="E99" s="152">
        <v>9800</v>
      </c>
      <c r="F99" s="31">
        <f>68600+E99</f>
        <v>78400</v>
      </c>
      <c r="G99" s="45">
        <v>9370.76</v>
      </c>
      <c r="H99" s="74"/>
      <c r="I99" s="74"/>
      <c r="J99" s="74"/>
      <c r="K99" s="94">
        <f>G99</f>
        <v>9370.76</v>
      </c>
      <c r="L99" s="33">
        <f>97813.06+K99</f>
        <v>107183.81999999999</v>
      </c>
      <c r="M99" s="34">
        <f t="shared" si="9"/>
        <v>429.2399999999998</v>
      </c>
      <c r="N99" s="35">
        <f t="shared" si="9"/>
        <v>-28783.819999999992</v>
      </c>
      <c r="O99" s="64">
        <v>0</v>
      </c>
      <c r="P99" s="65">
        <v>0</v>
      </c>
    </row>
    <row r="100" spans="1:18" ht="39.75" customHeight="1" thickBot="1">
      <c r="A100" s="86" t="s">
        <v>147</v>
      </c>
      <c r="B100" s="423" t="s">
        <v>148</v>
      </c>
      <c r="C100" s="424"/>
      <c r="D100" s="425"/>
      <c r="E100" s="73">
        <f>E101+E102</f>
        <v>2200</v>
      </c>
      <c r="F100" s="73">
        <f>F101+F102+F103+F104</f>
        <v>581500</v>
      </c>
      <c r="G100" s="73">
        <f>G101+G103+G104</f>
        <v>23918.11</v>
      </c>
      <c r="H100" s="75">
        <f>H102</f>
        <v>0</v>
      </c>
      <c r="I100" s="55">
        <f>I103</f>
        <v>0</v>
      </c>
      <c r="J100" s="55"/>
      <c r="K100" s="73">
        <f>G100+H100+I100+J100</f>
        <v>23918.11</v>
      </c>
      <c r="L100" s="55">
        <f>L101+L102+L103+L104</f>
        <v>553592.08</v>
      </c>
      <c r="M100" s="56">
        <f t="shared" si="9"/>
        <v>-21718.11</v>
      </c>
      <c r="N100" s="70">
        <f t="shared" si="9"/>
        <v>27907.920000000042</v>
      </c>
      <c r="O100" s="58">
        <v>0</v>
      </c>
      <c r="P100" s="59">
        <v>0</v>
      </c>
      <c r="R100" s="95">
        <f>L101+L103-L100</f>
        <v>0</v>
      </c>
    </row>
    <row r="101" spans="1:18" ht="27" customHeight="1" thickBot="1">
      <c r="A101" s="60" t="s">
        <v>149</v>
      </c>
      <c r="B101" s="405" t="s">
        <v>53</v>
      </c>
      <c r="C101" s="406"/>
      <c r="D101" s="407"/>
      <c r="E101" s="61">
        <f>E105+E106+E113+E118+E130+E112+E127+E114+E119</f>
        <v>2200</v>
      </c>
      <c r="F101" s="31">
        <f>579300+E101</f>
        <v>581500</v>
      </c>
      <c r="G101" s="74">
        <f>G112++G106+G113+G117+G119+G127+G118+G105+G129</f>
        <v>23918.11</v>
      </c>
      <c r="H101" s="74"/>
      <c r="I101" s="33"/>
      <c r="J101" s="33"/>
      <c r="K101" s="94">
        <f>G101</f>
        <v>23918.11</v>
      </c>
      <c r="L101" s="33">
        <f>529673.97+K101</f>
        <v>553592.08</v>
      </c>
      <c r="M101" s="34">
        <f t="shared" si="9"/>
        <v>-21718.11</v>
      </c>
      <c r="N101" s="35">
        <f t="shared" si="9"/>
        <v>27907.920000000042</v>
      </c>
      <c r="O101" s="64">
        <v>0</v>
      </c>
      <c r="P101" s="65">
        <v>0</v>
      </c>
      <c r="R101" s="95"/>
    </row>
    <row r="102" spans="1:18" ht="23.25" customHeight="1" thickBot="1">
      <c r="A102" s="60" t="s">
        <v>150</v>
      </c>
      <c r="B102" s="457" t="s">
        <v>51</v>
      </c>
      <c r="C102" s="458"/>
      <c r="D102" s="459"/>
      <c r="E102" s="61">
        <f>E128</f>
        <v>0</v>
      </c>
      <c r="F102" s="31">
        <f>0+E102</f>
        <v>0</v>
      </c>
      <c r="G102" s="74"/>
      <c r="H102" s="74">
        <f>H128</f>
        <v>0</v>
      </c>
      <c r="I102" s="33"/>
      <c r="J102" s="33"/>
      <c r="K102" s="94">
        <f>H102</f>
        <v>0</v>
      </c>
      <c r="L102" s="33">
        <f>0+K102</f>
        <v>0</v>
      </c>
      <c r="M102" s="34">
        <f t="shared" si="9"/>
        <v>0</v>
      </c>
      <c r="N102" s="35">
        <f t="shared" si="9"/>
        <v>0</v>
      </c>
      <c r="O102" s="64">
        <v>0</v>
      </c>
      <c r="P102" s="65">
        <v>0</v>
      </c>
      <c r="R102" s="96"/>
    </row>
    <row r="103" spans="1:16" ht="33.75" customHeight="1" thickBot="1">
      <c r="A103" s="60" t="s">
        <v>151</v>
      </c>
      <c r="B103" s="405" t="s">
        <v>104</v>
      </c>
      <c r="C103" s="406"/>
      <c r="D103" s="407"/>
      <c r="E103" s="61"/>
      <c r="F103" s="31"/>
      <c r="G103" s="31"/>
      <c r="H103" s="74"/>
      <c r="I103" s="33">
        <f>I127+I116+I130</f>
        <v>0</v>
      </c>
      <c r="J103" s="33"/>
      <c r="K103" s="94">
        <f>I103</f>
        <v>0</v>
      </c>
      <c r="L103" s="33">
        <f>0+K103</f>
        <v>0</v>
      </c>
      <c r="M103" s="34">
        <f aca="true" t="shared" si="11" ref="M103:N119">E103-K103</f>
        <v>0</v>
      </c>
      <c r="N103" s="35">
        <f t="shared" si="11"/>
        <v>0</v>
      </c>
      <c r="O103" s="64">
        <v>0</v>
      </c>
      <c r="P103" s="65">
        <v>0</v>
      </c>
    </row>
    <row r="104" spans="1:18" ht="25.5" customHeight="1" thickBot="1">
      <c r="A104" s="60" t="s">
        <v>152</v>
      </c>
      <c r="B104" s="457" t="s">
        <v>55</v>
      </c>
      <c r="C104" s="458"/>
      <c r="D104" s="459"/>
      <c r="E104" s="61"/>
      <c r="F104" s="31"/>
      <c r="G104" s="74"/>
      <c r="H104" s="74"/>
      <c r="I104" s="33"/>
      <c r="J104" s="33"/>
      <c r="K104" s="94">
        <f>G104</f>
        <v>0</v>
      </c>
      <c r="L104" s="33">
        <f>0+K104</f>
        <v>0</v>
      </c>
      <c r="M104" s="34">
        <f t="shared" si="11"/>
        <v>0</v>
      </c>
      <c r="N104" s="35">
        <f t="shared" si="11"/>
        <v>0</v>
      </c>
      <c r="O104" s="64">
        <v>0</v>
      </c>
      <c r="P104" s="65">
        <v>0</v>
      </c>
      <c r="R104" s="95">
        <f>L105+L112+L113+L117+L118+L130</f>
        <v>92781.79000000001</v>
      </c>
    </row>
    <row r="105" spans="1:16" ht="26.25" customHeight="1" thickBot="1">
      <c r="A105" s="60" t="s">
        <v>153</v>
      </c>
      <c r="B105" s="460" t="s">
        <v>154</v>
      </c>
      <c r="C105" s="461"/>
      <c r="D105" s="462"/>
      <c r="E105" s="31"/>
      <c r="F105" s="31">
        <f>40000+E105</f>
        <v>40000</v>
      </c>
      <c r="G105" s="74"/>
      <c r="H105" s="74"/>
      <c r="I105" s="74"/>
      <c r="J105" s="74"/>
      <c r="K105" s="94">
        <f aca="true" t="shared" si="12" ref="K105:K119">G105</f>
        <v>0</v>
      </c>
      <c r="L105" s="33">
        <f>13900+K105</f>
        <v>13900</v>
      </c>
      <c r="M105" s="34">
        <f t="shared" si="11"/>
        <v>0</v>
      </c>
      <c r="N105" s="35">
        <f t="shared" si="11"/>
        <v>26100</v>
      </c>
      <c r="O105" s="64">
        <v>0</v>
      </c>
      <c r="P105" s="65">
        <v>0</v>
      </c>
    </row>
    <row r="106" spans="1:16" ht="33" customHeight="1" thickBot="1">
      <c r="A106" s="60" t="s">
        <v>155</v>
      </c>
      <c r="B106" s="420" t="s">
        <v>156</v>
      </c>
      <c r="C106" s="421"/>
      <c r="D106" s="422"/>
      <c r="E106" s="31"/>
      <c r="F106" s="31">
        <f>11200+E106</f>
        <v>11200</v>
      </c>
      <c r="G106" s="74"/>
      <c r="H106" s="74"/>
      <c r="I106" s="74"/>
      <c r="J106" s="74"/>
      <c r="K106" s="94">
        <f t="shared" si="12"/>
        <v>0</v>
      </c>
      <c r="L106" s="33">
        <f>2800+K106</f>
        <v>2800</v>
      </c>
      <c r="M106" s="34">
        <f t="shared" si="11"/>
        <v>0</v>
      </c>
      <c r="N106" s="35">
        <f t="shared" si="11"/>
        <v>8400</v>
      </c>
      <c r="O106" s="64">
        <v>0</v>
      </c>
      <c r="P106" s="65">
        <v>0</v>
      </c>
    </row>
    <row r="107" spans="1:16" ht="31.5" customHeight="1" thickBot="1">
      <c r="A107" s="60" t="s">
        <v>157</v>
      </c>
      <c r="B107" s="466" t="s">
        <v>158</v>
      </c>
      <c r="C107" s="467"/>
      <c r="D107" s="468"/>
      <c r="E107" s="31"/>
      <c r="F107" s="31"/>
      <c r="G107" s="74"/>
      <c r="H107" s="74"/>
      <c r="I107" s="74"/>
      <c r="J107" s="74"/>
      <c r="K107" s="94">
        <f t="shared" si="12"/>
        <v>0</v>
      </c>
      <c r="L107" s="33">
        <f>0+K107</f>
        <v>0</v>
      </c>
      <c r="M107" s="34">
        <f t="shared" si="11"/>
        <v>0</v>
      </c>
      <c r="N107" s="35">
        <f t="shared" si="11"/>
        <v>0</v>
      </c>
      <c r="O107" s="64">
        <v>0</v>
      </c>
      <c r="P107" s="65">
        <v>0</v>
      </c>
    </row>
    <row r="108" spans="1:16" ht="24.75" customHeight="1" thickBot="1">
      <c r="A108" s="60" t="s">
        <v>159</v>
      </c>
      <c r="B108" s="420" t="s">
        <v>160</v>
      </c>
      <c r="C108" s="421"/>
      <c r="D108" s="422"/>
      <c r="E108" s="31"/>
      <c r="F108" s="31"/>
      <c r="G108" s="74"/>
      <c r="H108" s="74"/>
      <c r="I108" s="74"/>
      <c r="J108" s="74"/>
      <c r="K108" s="94">
        <f t="shared" si="12"/>
        <v>0</v>
      </c>
      <c r="L108" s="33">
        <f>0+K108</f>
        <v>0</v>
      </c>
      <c r="M108" s="34">
        <f t="shared" si="11"/>
        <v>0</v>
      </c>
      <c r="N108" s="35">
        <f t="shared" si="11"/>
        <v>0</v>
      </c>
      <c r="O108" s="64">
        <v>0</v>
      </c>
      <c r="P108" s="65">
        <v>0</v>
      </c>
    </row>
    <row r="109" spans="1:18" ht="38.25" customHeight="1" thickBot="1">
      <c r="A109" s="60" t="s">
        <v>161</v>
      </c>
      <c r="B109" s="420" t="s">
        <v>162</v>
      </c>
      <c r="C109" s="421"/>
      <c r="D109" s="422"/>
      <c r="E109" s="31"/>
      <c r="F109" s="31"/>
      <c r="G109" s="74"/>
      <c r="H109" s="74"/>
      <c r="I109" s="74"/>
      <c r="J109" s="74"/>
      <c r="K109" s="94">
        <f t="shared" si="12"/>
        <v>0</v>
      </c>
      <c r="L109" s="33">
        <f>0+K109</f>
        <v>0</v>
      </c>
      <c r="M109" s="34">
        <f t="shared" si="11"/>
        <v>0</v>
      </c>
      <c r="N109" s="35">
        <f t="shared" si="11"/>
        <v>0</v>
      </c>
      <c r="O109" s="64">
        <v>0</v>
      </c>
      <c r="P109" s="65">
        <v>0</v>
      </c>
      <c r="R109" s="96"/>
    </row>
    <row r="110" spans="1:16" ht="30" customHeight="1" thickBot="1">
      <c r="A110" s="60" t="s">
        <v>163</v>
      </c>
      <c r="B110" s="466" t="s">
        <v>164</v>
      </c>
      <c r="C110" s="467"/>
      <c r="D110" s="468"/>
      <c r="E110" s="31"/>
      <c r="F110" s="31"/>
      <c r="G110" s="74"/>
      <c r="H110" s="74"/>
      <c r="I110" s="74"/>
      <c r="J110" s="74"/>
      <c r="K110" s="94">
        <f t="shared" si="12"/>
        <v>0</v>
      </c>
      <c r="L110" s="33">
        <f>0+K110</f>
        <v>0</v>
      </c>
      <c r="M110" s="34">
        <f t="shared" si="11"/>
        <v>0</v>
      </c>
      <c r="N110" s="35">
        <f t="shared" si="11"/>
        <v>0</v>
      </c>
      <c r="O110" s="64">
        <v>0</v>
      </c>
      <c r="P110" s="65">
        <v>0</v>
      </c>
    </row>
    <row r="111" spans="1:16" ht="33" customHeight="1" thickBot="1">
      <c r="A111" s="60" t="s">
        <v>165</v>
      </c>
      <c r="B111" s="420" t="s">
        <v>166</v>
      </c>
      <c r="C111" s="421"/>
      <c r="D111" s="422"/>
      <c r="E111" s="31"/>
      <c r="F111" s="31"/>
      <c r="G111" s="74"/>
      <c r="H111" s="74"/>
      <c r="I111" s="74"/>
      <c r="J111" s="74"/>
      <c r="K111" s="94">
        <f t="shared" si="12"/>
        <v>0</v>
      </c>
      <c r="L111" s="33">
        <f>0+K111</f>
        <v>0</v>
      </c>
      <c r="M111" s="34">
        <f t="shared" si="11"/>
        <v>0</v>
      </c>
      <c r="N111" s="35">
        <f t="shared" si="11"/>
        <v>0</v>
      </c>
      <c r="O111" s="64">
        <v>0</v>
      </c>
      <c r="P111" s="65">
        <v>0</v>
      </c>
    </row>
    <row r="112" spans="1:18" ht="25.5" customHeight="1" thickBot="1">
      <c r="A112" s="60" t="s">
        <v>167</v>
      </c>
      <c r="B112" s="420" t="s">
        <v>168</v>
      </c>
      <c r="C112" s="421"/>
      <c r="D112" s="422"/>
      <c r="E112" s="31"/>
      <c r="F112" s="31"/>
      <c r="G112" s="74"/>
      <c r="H112" s="74"/>
      <c r="I112" s="74"/>
      <c r="J112" s="74"/>
      <c r="K112" s="94">
        <f t="shared" si="12"/>
        <v>0</v>
      </c>
      <c r="L112" s="33">
        <f>35790+K112</f>
        <v>35790</v>
      </c>
      <c r="M112" s="34">
        <f t="shared" si="11"/>
        <v>0</v>
      </c>
      <c r="N112" s="35">
        <f t="shared" si="11"/>
        <v>-35790</v>
      </c>
      <c r="O112" s="64">
        <v>0</v>
      </c>
      <c r="P112" s="65">
        <v>0</v>
      </c>
      <c r="R112" s="95"/>
    </row>
    <row r="113" spans="1:16" ht="50.25" customHeight="1" thickBot="1">
      <c r="A113" s="60" t="s">
        <v>169</v>
      </c>
      <c r="B113" s="420" t="s">
        <v>170</v>
      </c>
      <c r="C113" s="421"/>
      <c r="D113" s="422"/>
      <c r="E113" s="31">
        <v>1000</v>
      </c>
      <c r="F113" s="31">
        <f>8000+E113</f>
        <v>9000</v>
      </c>
      <c r="G113" s="74"/>
      <c r="H113" s="74"/>
      <c r="I113" s="74"/>
      <c r="J113" s="74"/>
      <c r="K113" s="94">
        <f t="shared" si="12"/>
        <v>0</v>
      </c>
      <c r="L113" s="33">
        <f>31565.94+K113</f>
        <v>31565.94</v>
      </c>
      <c r="M113" s="34">
        <f>E113-K113</f>
        <v>1000</v>
      </c>
      <c r="N113" s="35">
        <f t="shared" si="11"/>
        <v>-22565.94</v>
      </c>
      <c r="O113" s="64">
        <v>0</v>
      </c>
      <c r="P113" s="65">
        <v>0</v>
      </c>
    </row>
    <row r="114" spans="1:16" ht="39.75" customHeight="1" thickBot="1">
      <c r="A114" s="60" t="s">
        <v>171</v>
      </c>
      <c r="B114" s="420" t="s">
        <v>172</v>
      </c>
      <c r="C114" s="421"/>
      <c r="D114" s="422"/>
      <c r="E114" s="31"/>
      <c r="F114" s="31">
        <f>164000+E114</f>
        <v>164000</v>
      </c>
      <c r="G114" s="74"/>
      <c r="H114" s="74"/>
      <c r="I114" s="74"/>
      <c r="J114" s="74"/>
      <c r="K114" s="94">
        <f t="shared" si="12"/>
        <v>0</v>
      </c>
      <c r="L114" s="33">
        <f>0+K114</f>
        <v>0</v>
      </c>
      <c r="M114" s="34">
        <f t="shared" si="11"/>
        <v>0</v>
      </c>
      <c r="N114" s="35">
        <f t="shared" si="11"/>
        <v>164000</v>
      </c>
      <c r="O114" s="64">
        <v>0</v>
      </c>
      <c r="P114" s="65">
        <v>0</v>
      </c>
    </row>
    <row r="115" spans="1:16" ht="30" customHeight="1" thickBot="1">
      <c r="A115" s="60" t="s">
        <v>173</v>
      </c>
      <c r="B115" s="420" t="s">
        <v>174</v>
      </c>
      <c r="C115" s="421"/>
      <c r="D115" s="422"/>
      <c r="E115" s="31"/>
      <c r="F115" s="31"/>
      <c r="G115" s="74"/>
      <c r="H115" s="74"/>
      <c r="I115" s="74"/>
      <c r="J115" s="74"/>
      <c r="K115" s="94">
        <f t="shared" si="12"/>
        <v>0</v>
      </c>
      <c r="L115" s="33">
        <f>0+K115</f>
        <v>0</v>
      </c>
      <c r="M115" s="34">
        <f t="shared" si="11"/>
        <v>0</v>
      </c>
      <c r="N115" s="35">
        <f t="shared" si="11"/>
        <v>0</v>
      </c>
      <c r="O115" s="64">
        <v>0</v>
      </c>
      <c r="P115" s="65">
        <v>0</v>
      </c>
    </row>
    <row r="116" spans="1:16" ht="47.25" customHeight="1" thickBot="1">
      <c r="A116" s="60"/>
      <c r="B116" s="420" t="s">
        <v>175</v>
      </c>
      <c r="C116" s="421"/>
      <c r="D116" s="422"/>
      <c r="E116" s="31"/>
      <c r="F116" s="31"/>
      <c r="G116" s="74"/>
      <c r="H116" s="74"/>
      <c r="I116" s="74"/>
      <c r="J116" s="74"/>
      <c r="K116" s="94">
        <f>I116</f>
        <v>0</v>
      </c>
      <c r="L116" s="33">
        <f>0+K116</f>
        <v>0</v>
      </c>
      <c r="M116" s="34">
        <f t="shared" si="11"/>
        <v>0</v>
      </c>
      <c r="N116" s="35">
        <f t="shared" si="11"/>
        <v>0</v>
      </c>
      <c r="O116" s="64">
        <v>0</v>
      </c>
      <c r="P116" s="65">
        <v>0</v>
      </c>
    </row>
    <row r="117" spans="1:16" ht="29.25" customHeight="1" thickBot="1">
      <c r="A117" s="60" t="s">
        <v>176</v>
      </c>
      <c r="B117" s="420" t="s">
        <v>177</v>
      </c>
      <c r="C117" s="421"/>
      <c r="D117" s="422"/>
      <c r="E117" s="31"/>
      <c r="F117" s="31"/>
      <c r="G117" s="74">
        <v>3623.17</v>
      </c>
      <c r="H117" s="74"/>
      <c r="I117" s="74"/>
      <c r="J117" s="74"/>
      <c r="K117" s="94">
        <f>G117</f>
        <v>3623.17</v>
      </c>
      <c r="L117" s="33">
        <f>1356.68+K117</f>
        <v>4979.85</v>
      </c>
      <c r="M117" s="34">
        <f t="shared" si="11"/>
        <v>-3623.17</v>
      </c>
      <c r="N117" s="35">
        <f t="shared" si="11"/>
        <v>-4979.85</v>
      </c>
      <c r="O117" s="64">
        <v>0</v>
      </c>
      <c r="P117" s="65">
        <v>0</v>
      </c>
    </row>
    <row r="118" spans="1:18" ht="34.5" customHeight="1" thickBot="1">
      <c r="A118" s="60" t="s">
        <v>178</v>
      </c>
      <c r="B118" s="463" t="s">
        <v>179</v>
      </c>
      <c r="C118" s="464"/>
      <c r="D118" s="465"/>
      <c r="E118" s="31"/>
      <c r="F118" s="31"/>
      <c r="G118" s="74"/>
      <c r="H118" s="74"/>
      <c r="I118" s="74"/>
      <c r="J118" s="74"/>
      <c r="K118" s="94">
        <f>G118</f>
        <v>0</v>
      </c>
      <c r="L118" s="33">
        <f>6546+K118</f>
        <v>6546</v>
      </c>
      <c r="M118" s="34">
        <f t="shared" si="11"/>
        <v>0</v>
      </c>
      <c r="N118" s="35">
        <f t="shared" si="11"/>
        <v>-6546</v>
      </c>
      <c r="O118" s="64">
        <v>0</v>
      </c>
      <c r="P118" s="65">
        <v>0</v>
      </c>
      <c r="R118" s="96">
        <f>F130+F128+F127+F118+F114+F113+F112+F106+F105</f>
        <v>530200</v>
      </c>
    </row>
    <row r="119" spans="1:16" ht="33" customHeight="1" thickBot="1">
      <c r="A119" s="97" t="s">
        <v>180</v>
      </c>
      <c r="B119" s="420" t="s">
        <v>181</v>
      </c>
      <c r="C119" s="421"/>
      <c r="D119" s="422"/>
      <c r="E119" s="31">
        <v>1200</v>
      </c>
      <c r="F119" s="31">
        <f>7900+E119</f>
        <v>9100</v>
      </c>
      <c r="G119" s="74">
        <v>2100</v>
      </c>
      <c r="H119" s="74"/>
      <c r="I119" s="74"/>
      <c r="J119" s="74"/>
      <c r="K119" s="94">
        <f t="shared" si="12"/>
        <v>2100</v>
      </c>
      <c r="L119" s="33">
        <f>13450+K119</f>
        <v>15550</v>
      </c>
      <c r="M119" s="34">
        <f t="shared" si="11"/>
        <v>-900</v>
      </c>
      <c r="N119" s="35">
        <f t="shared" si="11"/>
        <v>-6450</v>
      </c>
      <c r="O119" s="64">
        <v>0</v>
      </c>
      <c r="P119" s="65">
        <v>0</v>
      </c>
    </row>
    <row r="120" spans="1:16" ht="15">
      <c r="A120" s="98"/>
      <c r="B120" s="396" t="s">
        <v>43</v>
      </c>
      <c r="C120" s="396"/>
      <c r="D120" s="396"/>
      <c r="E120" s="396"/>
      <c r="F120" s="396"/>
      <c r="G120" s="396"/>
      <c r="H120" s="396"/>
      <c r="I120" s="396"/>
      <c r="J120" s="396"/>
      <c r="K120" s="396"/>
      <c r="L120" s="396"/>
      <c r="M120" s="396"/>
      <c r="N120" s="396"/>
      <c r="O120" s="396"/>
      <c r="P120" s="397"/>
    </row>
    <row r="121" spans="1:16" ht="5.25" customHeight="1" thickBot="1">
      <c r="A121" s="99"/>
      <c r="B121" s="399"/>
      <c r="C121" s="399"/>
      <c r="D121" s="399"/>
      <c r="E121" s="399"/>
      <c r="F121" s="399"/>
      <c r="G121" s="399"/>
      <c r="H121" s="399"/>
      <c r="I121" s="399"/>
      <c r="J121" s="399"/>
      <c r="K121" s="399"/>
      <c r="L121" s="399"/>
      <c r="M121" s="399"/>
      <c r="N121" s="399"/>
      <c r="O121" s="399"/>
      <c r="P121" s="400"/>
    </row>
    <row r="122" spans="1:16" ht="15.75" thickBot="1">
      <c r="A122" s="100"/>
      <c r="B122" s="471" t="s">
        <v>14</v>
      </c>
      <c r="C122" s="472"/>
      <c r="D122" s="473"/>
      <c r="E122" s="477" t="s">
        <v>24</v>
      </c>
      <c r="F122" s="479" t="s">
        <v>25</v>
      </c>
      <c r="G122" s="481" t="s">
        <v>44</v>
      </c>
      <c r="H122" s="482"/>
      <c r="I122" s="482"/>
      <c r="J122" s="482"/>
      <c r="K122" s="483"/>
      <c r="L122" s="469" t="s">
        <v>16</v>
      </c>
      <c r="M122" s="469" t="s">
        <v>17</v>
      </c>
      <c r="N122" s="469" t="s">
        <v>18</v>
      </c>
      <c r="O122" s="469" t="s">
        <v>19</v>
      </c>
      <c r="P122" s="469" t="s">
        <v>20</v>
      </c>
    </row>
    <row r="123" spans="1:16" ht="88.5" customHeight="1" thickBot="1">
      <c r="A123" s="296"/>
      <c r="B123" s="474"/>
      <c r="C123" s="475"/>
      <c r="D123" s="476"/>
      <c r="E123" s="478"/>
      <c r="F123" s="480"/>
      <c r="G123" s="102" t="s">
        <v>45</v>
      </c>
      <c r="H123" s="102" t="s">
        <v>46</v>
      </c>
      <c r="I123" s="102" t="s">
        <v>47</v>
      </c>
      <c r="J123" s="103" t="s">
        <v>48</v>
      </c>
      <c r="K123" s="104" t="s">
        <v>27</v>
      </c>
      <c r="L123" s="470"/>
      <c r="M123" s="470"/>
      <c r="N123" s="470"/>
      <c r="O123" s="470"/>
      <c r="P123" s="470"/>
    </row>
    <row r="124" spans="1:16" ht="15.75" thickBot="1">
      <c r="A124" s="105"/>
      <c r="B124" s="342">
        <v>1</v>
      </c>
      <c r="C124" s="343"/>
      <c r="D124" s="344"/>
      <c r="E124" s="17" t="s">
        <v>22</v>
      </c>
      <c r="F124" s="293">
        <v>3</v>
      </c>
      <c r="G124" s="293">
        <v>4</v>
      </c>
      <c r="H124" s="293">
        <v>5</v>
      </c>
      <c r="I124" s="7">
        <v>6</v>
      </c>
      <c r="J124" s="7">
        <v>7</v>
      </c>
      <c r="K124" s="48">
        <v>8</v>
      </c>
      <c r="L124" s="290">
        <v>9</v>
      </c>
      <c r="M124" s="7">
        <v>10</v>
      </c>
      <c r="N124" s="290">
        <v>11</v>
      </c>
      <c r="O124" s="7">
        <v>12</v>
      </c>
      <c r="P124" s="290">
        <v>13</v>
      </c>
    </row>
    <row r="125" spans="1:16" ht="25.5" customHeight="1" thickBot="1">
      <c r="A125" s="106" t="s">
        <v>182</v>
      </c>
      <c r="B125" s="411" t="s">
        <v>183</v>
      </c>
      <c r="C125" s="412"/>
      <c r="D125" s="413"/>
      <c r="E125" s="31"/>
      <c r="F125" s="31"/>
      <c r="G125" s="74"/>
      <c r="H125" s="74"/>
      <c r="I125" s="74"/>
      <c r="J125" s="74"/>
      <c r="K125" s="94">
        <f aca="true" t="shared" si="13" ref="K125:K139">G125</f>
        <v>0</v>
      </c>
      <c r="L125" s="33">
        <f>0+K125</f>
        <v>0</v>
      </c>
      <c r="M125" s="34">
        <f aca="true" t="shared" si="14" ref="M125:N140">E125-K125</f>
        <v>0</v>
      </c>
      <c r="N125" s="35">
        <f t="shared" si="14"/>
        <v>0</v>
      </c>
      <c r="O125" s="64">
        <v>0</v>
      </c>
      <c r="P125" s="65">
        <v>0</v>
      </c>
    </row>
    <row r="126" spans="1:16" ht="41.25" thickBot="1">
      <c r="A126" s="107" t="s">
        <v>184</v>
      </c>
      <c r="B126" s="426" t="s">
        <v>185</v>
      </c>
      <c r="C126" s="427"/>
      <c r="D126" s="428"/>
      <c r="E126" s="31"/>
      <c r="F126" s="31"/>
      <c r="G126" s="74"/>
      <c r="H126" s="74"/>
      <c r="I126" s="74"/>
      <c r="J126" s="74"/>
      <c r="K126" s="94">
        <f t="shared" si="13"/>
        <v>0</v>
      </c>
      <c r="L126" s="33">
        <f>0+K126</f>
        <v>0</v>
      </c>
      <c r="M126" s="34">
        <f t="shared" si="14"/>
        <v>0</v>
      </c>
      <c r="N126" s="35">
        <f t="shared" si="14"/>
        <v>0</v>
      </c>
      <c r="O126" s="64">
        <v>0</v>
      </c>
      <c r="P126" s="65">
        <v>0</v>
      </c>
    </row>
    <row r="127" spans="1:16" ht="35.25" customHeight="1" thickBot="1">
      <c r="A127" s="108" t="s">
        <v>186</v>
      </c>
      <c r="B127" s="426" t="s">
        <v>187</v>
      </c>
      <c r="C127" s="427"/>
      <c r="D127" s="428"/>
      <c r="E127" s="31"/>
      <c r="F127" s="31">
        <f>300000+E127</f>
        <v>300000</v>
      </c>
      <c r="G127" s="74">
        <v>18194.94</v>
      </c>
      <c r="H127" s="74"/>
      <c r="I127" s="74"/>
      <c r="J127" s="74"/>
      <c r="K127" s="94">
        <f>I127+G127</f>
        <v>18194.94</v>
      </c>
      <c r="L127" s="33">
        <f>418695.35+K127</f>
        <v>436890.29</v>
      </c>
      <c r="M127" s="34">
        <f t="shared" si="14"/>
        <v>-18194.94</v>
      </c>
      <c r="N127" s="35">
        <f t="shared" si="14"/>
        <v>-136890.28999999998</v>
      </c>
      <c r="O127" s="64">
        <v>0</v>
      </c>
      <c r="P127" s="65">
        <v>0</v>
      </c>
    </row>
    <row r="128" spans="1:16" ht="49.5" customHeight="1" thickBot="1">
      <c r="A128" s="108" t="s">
        <v>188</v>
      </c>
      <c r="B128" s="426" t="s">
        <v>189</v>
      </c>
      <c r="C128" s="427"/>
      <c r="D128" s="428"/>
      <c r="E128" s="31"/>
      <c r="F128" s="31">
        <f>0+E128</f>
        <v>0</v>
      </c>
      <c r="G128" s="74"/>
      <c r="H128" s="74"/>
      <c r="I128" s="74"/>
      <c r="J128" s="74"/>
      <c r="K128" s="94">
        <f>H128</f>
        <v>0</v>
      </c>
      <c r="L128" s="33">
        <f>0+K128</f>
        <v>0</v>
      </c>
      <c r="M128" s="34">
        <f t="shared" si="14"/>
        <v>0</v>
      </c>
      <c r="N128" s="35">
        <f t="shared" si="14"/>
        <v>0</v>
      </c>
      <c r="O128" s="64">
        <v>0</v>
      </c>
      <c r="P128" s="65">
        <v>0</v>
      </c>
    </row>
    <row r="129" spans="1:16" ht="30" customHeight="1" thickBot="1">
      <c r="A129" s="109" t="s">
        <v>190</v>
      </c>
      <c r="B129" s="426" t="s">
        <v>191</v>
      </c>
      <c r="C129" s="427"/>
      <c r="D129" s="428"/>
      <c r="E129" s="31"/>
      <c r="F129" s="31"/>
      <c r="G129" s="74"/>
      <c r="H129" s="74"/>
      <c r="I129" s="74"/>
      <c r="J129" s="74"/>
      <c r="K129" s="94">
        <f>G129</f>
        <v>0</v>
      </c>
      <c r="L129" s="33">
        <f>5570+K129</f>
        <v>5570</v>
      </c>
      <c r="M129" s="34">
        <f t="shared" si="14"/>
        <v>0</v>
      </c>
      <c r="N129" s="35">
        <f t="shared" si="14"/>
        <v>-5570</v>
      </c>
      <c r="O129" s="64">
        <v>0</v>
      </c>
      <c r="P129" s="65">
        <v>0</v>
      </c>
    </row>
    <row r="130" spans="1:16" ht="41.25" customHeight="1" thickBot="1">
      <c r="A130" s="109" t="s">
        <v>192</v>
      </c>
      <c r="B130" s="494" t="s">
        <v>193</v>
      </c>
      <c r="C130" s="495"/>
      <c r="D130" s="496"/>
      <c r="E130" s="31"/>
      <c r="F130" s="31">
        <f>6000+E130</f>
        <v>6000</v>
      </c>
      <c r="G130" s="74"/>
      <c r="H130" s="74"/>
      <c r="I130" s="74"/>
      <c r="J130" s="74"/>
      <c r="K130" s="94">
        <f>G130+I130</f>
        <v>0</v>
      </c>
      <c r="L130" s="33">
        <f>0+K130</f>
        <v>0</v>
      </c>
      <c r="M130" s="34">
        <f t="shared" si="14"/>
        <v>0</v>
      </c>
      <c r="N130" s="35">
        <f t="shared" si="14"/>
        <v>6000</v>
      </c>
      <c r="O130" s="64">
        <v>0</v>
      </c>
      <c r="P130" s="65">
        <v>0</v>
      </c>
    </row>
    <row r="131" spans="1:19" ht="30" customHeight="1" thickBot="1">
      <c r="A131" s="259">
        <v>15</v>
      </c>
      <c r="B131" s="418" t="s">
        <v>194</v>
      </c>
      <c r="C131" s="418"/>
      <c r="D131" s="419"/>
      <c r="E131" s="73">
        <f>E132+E133</f>
        <v>0</v>
      </c>
      <c r="F131" s="73">
        <f>F132</f>
        <v>130000</v>
      </c>
      <c r="G131" s="75">
        <f>G132+G133</f>
        <v>0</v>
      </c>
      <c r="H131" s="74"/>
      <c r="I131" s="74"/>
      <c r="J131" s="74"/>
      <c r="K131" s="93">
        <f t="shared" si="13"/>
        <v>0</v>
      </c>
      <c r="L131" s="55">
        <f>L132+L133</f>
        <v>18050.82</v>
      </c>
      <c r="M131" s="56">
        <f t="shared" si="14"/>
        <v>0</v>
      </c>
      <c r="N131" s="70">
        <f t="shared" si="14"/>
        <v>111949.18</v>
      </c>
      <c r="O131" s="58">
        <v>0</v>
      </c>
      <c r="P131" s="59">
        <v>0</v>
      </c>
      <c r="Q131" s="1"/>
      <c r="R131" s="1"/>
      <c r="S131" s="1"/>
    </row>
    <row r="132" spans="1:19" ht="29.25" customHeight="1" thickBot="1">
      <c r="A132" s="60" t="s">
        <v>195</v>
      </c>
      <c r="B132" s="405" t="s">
        <v>53</v>
      </c>
      <c r="C132" s="406"/>
      <c r="D132" s="407"/>
      <c r="E132" s="155"/>
      <c r="F132" s="31">
        <f>130000+E132</f>
        <v>130000</v>
      </c>
      <c r="G132" s="74"/>
      <c r="H132" s="74"/>
      <c r="I132" s="74"/>
      <c r="J132" s="74"/>
      <c r="K132" s="94">
        <f t="shared" si="13"/>
        <v>0</v>
      </c>
      <c r="L132" s="33">
        <f>18050.82+K132</f>
        <v>18050.82</v>
      </c>
      <c r="M132" s="34">
        <f t="shared" si="14"/>
        <v>0</v>
      </c>
      <c r="N132" s="35">
        <f t="shared" si="14"/>
        <v>111949.18</v>
      </c>
      <c r="O132" s="64">
        <v>0</v>
      </c>
      <c r="P132" s="65">
        <v>0</v>
      </c>
      <c r="Q132" s="1"/>
      <c r="R132" s="1"/>
      <c r="S132" s="1"/>
    </row>
    <row r="133" spans="1:19" ht="32.25" customHeight="1" thickBot="1">
      <c r="A133" s="60" t="s">
        <v>196</v>
      </c>
      <c r="B133" s="405" t="s">
        <v>104</v>
      </c>
      <c r="C133" s="406"/>
      <c r="D133" s="407"/>
      <c r="E133" s="61"/>
      <c r="F133" s="31"/>
      <c r="G133" s="74"/>
      <c r="H133" s="74"/>
      <c r="I133" s="74"/>
      <c r="J133" s="74"/>
      <c r="K133" s="94">
        <f t="shared" si="13"/>
        <v>0</v>
      </c>
      <c r="L133" s="33">
        <f>0+K133</f>
        <v>0</v>
      </c>
      <c r="M133" s="34">
        <f t="shared" si="14"/>
        <v>0</v>
      </c>
      <c r="N133" s="35">
        <f t="shared" si="14"/>
        <v>0</v>
      </c>
      <c r="O133" s="64">
        <v>0</v>
      </c>
      <c r="P133" s="65">
        <v>0</v>
      </c>
      <c r="Q133" s="1"/>
      <c r="R133" s="1"/>
      <c r="S133" s="1"/>
    </row>
    <row r="134" spans="1:19" ht="30" customHeight="1" thickBot="1">
      <c r="A134" s="260">
        <v>16</v>
      </c>
      <c r="B134" s="418" t="s">
        <v>197</v>
      </c>
      <c r="C134" s="418"/>
      <c r="D134" s="419"/>
      <c r="E134" s="31">
        <v>0</v>
      </c>
      <c r="F134" s="73">
        <f>F135</f>
        <v>0</v>
      </c>
      <c r="G134" s="75">
        <f>G135+G136</f>
        <v>0</v>
      </c>
      <c r="H134" s="74"/>
      <c r="I134" s="74"/>
      <c r="J134" s="74"/>
      <c r="K134" s="93">
        <f t="shared" si="13"/>
        <v>0</v>
      </c>
      <c r="L134" s="55">
        <f>0+K134</f>
        <v>0</v>
      </c>
      <c r="M134" s="56">
        <f t="shared" si="14"/>
        <v>0</v>
      </c>
      <c r="N134" s="70">
        <f t="shared" si="14"/>
        <v>0</v>
      </c>
      <c r="O134" s="58">
        <v>0</v>
      </c>
      <c r="P134" s="59">
        <v>0</v>
      </c>
      <c r="Q134" s="1"/>
      <c r="R134" s="1"/>
      <c r="S134" s="1"/>
    </row>
    <row r="135" spans="1:19" ht="30.75" customHeight="1" thickBot="1">
      <c r="A135" s="60" t="s">
        <v>198</v>
      </c>
      <c r="B135" s="405" t="s">
        <v>53</v>
      </c>
      <c r="C135" s="406"/>
      <c r="D135" s="407"/>
      <c r="E135" s="61"/>
      <c r="F135" s="31">
        <v>0</v>
      </c>
      <c r="G135" s="74"/>
      <c r="H135" s="74"/>
      <c r="I135" s="74"/>
      <c r="J135" s="74"/>
      <c r="K135" s="94">
        <f t="shared" si="13"/>
        <v>0</v>
      </c>
      <c r="L135" s="33">
        <f>0+K135</f>
        <v>0</v>
      </c>
      <c r="M135" s="34">
        <f t="shared" si="14"/>
        <v>0</v>
      </c>
      <c r="N135" s="35">
        <f t="shared" si="14"/>
        <v>0</v>
      </c>
      <c r="O135" s="64">
        <v>0</v>
      </c>
      <c r="P135" s="65">
        <v>0</v>
      </c>
      <c r="Q135" s="1"/>
      <c r="R135" s="1"/>
      <c r="S135" s="1"/>
    </row>
    <row r="136" spans="1:19" ht="41.25" customHeight="1" thickBot="1">
      <c r="A136" s="60" t="s">
        <v>199</v>
      </c>
      <c r="B136" s="405" t="s">
        <v>104</v>
      </c>
      <c r="C136" s="406"/>
      <c r="D136" s="407"/>
      <c r="E136" s="61"/>
      <c r="F136" s="31"/>
      <c r="G136" s="74"/>
      <c r="H136" s="74"/>
      <c r="I136" s="74"/>
      <c r="J136" s="74"/>
      <c r="K136" s="94">
        <f t="shared" si="13"/>
        <v>0</v>
      </c>
      <c r="L136" s="33">
        <f>0+K136</f>
        <v>0</v>
      </c>
      <c r="M136" s="34">
        <f t="shared" si="14"/>
        <v>0</v>
      </c>
      <c r="N136" s="35">
        <f t="shared" si="14"/>
        <v>0</v>
      </c>
      <c r="O136" s="64">
        <v>0</v>
      </c>
      <c r="P136" s="65">
        <v>0</v>
      </c>
      <c r="Q136" s="1"/>
      <c r="R136" s="1"/>
      <c r="S136" s="1"/>
    </row>
    <row r="137" spans="1:19" ht="52.5" customHeight="1" thickBot="1">
      <c r="A137" s="259">
        <v>17</v>
      </c>
      <c r="B137" s="418" t="s">
        <v>200</v>
      </c>
      <c r="C137" s="418"/>
      <c r="D137" s="419"/>
      <c r="E137" s="73">
        <v>0</v>
      </c>
      <c r="F137" s="73">
        <f>F138</f>
        <v>5504</v>
      </c>
      <c r="G137" s="75">
        <f>G138+G139</f>
        <v>45000</v>
      </c>
      <c r="H137" s="75"/>
      <c r="I137" s="75"/>
      <c r="J137" s="75"/>
      <c r="K137" s="93">
        <f t="shared" si="13"/>
        <v>45000</v>
      </c>
      <c r="L137" s="55">
        <f>L138</f>
        <v>68504</v>
      </c>
      <c r="M137" s="56">
        <f t="shared" si="14"/>
        <v>-45000</v>
      </c>
      <c r="N137" s="70">
        <f t="shared" si="14"/>
        <v>-63000</v>
      </c>
      <c r="O137" s="58">
        <v>0</v>
      </c>
      <c r="P137" s="59">
        <v>0</v>
      </c>
      <c r="Q137" s="1"/>
      <c r="R137" s="1"/>
      <c r="S137" s="1"/>
    </row>
    <row r="138" spans="1:19" ht="31.5" customHeight="1" thickBot="1">
      <c r="A138" s="60" t="s">
        <v>201</v>
      </c>
      <c r="B138" s="405" t="s">
        <v>53</v>
      </c>
      <c r="C138" s="406"/>
      <c r="D138" s="407"/>
      <c r="E138" s="61"/>
      <c r="F138" s="31">
        <f>5504+E138</f>
        <v>5504</v>
      </c>
      <c r="G138" s="74">
        <v>45000</v>
      </c>
      <c r="H138" s="74"/>
      <c r="I138" s="74"/>
      <c r="J138" s="74"/>
      <c r="K138" s="94">
        <f t="shared" si="13"/>
        <v>45000</v>
      </c>
      <c r="L138" s="33">
        <f>23504+K138</f>
        <v>68504</v>
      </c>
      <c r="M138" s="34">
        <f t="shared" si="14"/>
        <v>-45000</v>
      </c>
      <c r="N138" s="35">
        <f t="shared" si="14"/>
        <v>-63000</v>
      </c>
      <c r="O138" s="64">
        <v>0</v>
      </c>
      <c r="P138" s="65">
        <v>0</v>
      </c>
      <c r="Q138" s="1"/>
      <c r="R138" s="1"/>
      <c r="S138" s="1"/>
    </row>
    <row r="139" spans="1:19" ht="34.5" customHeight="1" thickBot="1">
      <c r="A139" s="60" t="s">
        <v>202</v>
      </c>
      <c r="B139" s="405" t="s">
        <v>104</v>
      </c>
      <c r="C139" s="406"/>
      <c r="D139" s="407"/>
      <c r="E139" s="61"/>
      <c r="F139" s="31"/>
      <c r="G139" s="74"/>
      <c r="H139" s="74"/>
      <c r="I139" s="74"/>
      <c r="J139" s="74"/>
      <c r="K139" s="94">
        <f t="shared" si="13"/>
        <v>0</v>
      </c>
      <c r="L139" s="33">
        <f>0+K139</f>
        <v>0</v>
      </c>
      <c r="M139" s="34">
        <f t="shared" si="14"/>
        <v>0</v>
      </c>
      <c r="N139" s="35">
        <f t="shared" si="14"/>
        <v>0</v>
      </c>
      <c r="O139" s="64">
        <v>0</v>
      </c>
      <c r="P139" s="65">
        <v>0</v>
      </c>
      <c r="Q139" s="1"/>
      <c r="R139" s="1"/>
      <c r="S139" s="1"/>
    </row>
    <row r="140" spans="1:19" ht="19.5" customHeight="1" thickBot="1">
      <c r="A140" s="110">
        <v>18</v>
      </c>
      <c r="B140" s="424" t="s">
        <v>42</v>
      </c>
      <c r="C140" s="424"/>
      <c r="D140" s="425"/>
      <c r="E140" s="31">
        <v>0</v>
      </c>
      <c r="F140" s="31"/>
      <c r="G140" s="74"/>
      <c r="H140" s="74"/>
      <c r="I140" s="74"/>
      <c r="J140" s="75">
        <v>195410.4</v>
      </c>
      <c r="K140" s="93">
        <f>J140</f>
        <v>195410.4</v>
      </c>
      <c r="L140" s="55">
        <f>1039760.07+K140</f>
        <v>1235170.47</v>
      </c>
      <c r="M140" s="56">
        <f>E140-K140</f>
        <v>-195410.4</v>
      </c>
      <c r="N140" s="70">
        <f t="shared" si="14"/>
        <v>-1235170.47</v>
      </c>
      <c r="O140" s="58">
        <v>0</v>
      </c>
      <c r="P140" s="59">
        <v>0</v>
      </c>
      <c r="Q140" s="1"/>
      <c r="R140" s="1"/>
      <c r="S140" s="1"/>
    </row>
    <row r="141" spans="1:19" ht="60" customHeight="1" thickBot="1">
      <c r="A141" s="112"/>
      <c r="B141" s="488" t="s">
        <v>203</v>
      </c>
      <c r="C141" s="488"/>
      <c r="D141" s="488"/>
      <c r="E141" s="488"/>
      <c r="F141" s="113"/>
      <c r="G141" s="113" t="s">
        <v>4</v>
      </c>
      <c r="H141" s="286" t="s">
        <v>5</v>
      </c>
      <c r="I141" s="338" t="s">
        <v>6</v>
      </c>
      <c r="J141" s="339"/>
      <c r="K141" s="8" t="s">
        <v>11</v>
      </c>
      <c r="L141" s="7" t="s">
        <v>8</v>
      </c>
      <c r="M141" s="7" t="s">
        <v>9</v>
      </c>
      <c r="N141" s="115" t="s">
        <v>10</v>
      </c>
      <c r="O141" s="116"/>
      <c r="P141" s="289"/>
      <c r="Q141" s="1"/>
      <c r="R141" s="1"/>
      <c r="S141" s="1"/>
    </row>
    <row r="142" spans="1:19" ht="23.25" customHeight="1" thickBot="1">
      <c r="A142" s="118"/>
      <c r="B142" s="488" t="s">
        <v>12</v>
      </c>
      <c r="C142" s="488"/>
      <c r="D142" s="488"/>
      <c r="E142" s="489"/>
      <c r="F142" s="119"/>
      <c r="G142" s="119">
        <v>0</v>
      </c>
      <c r="H142" s="4">
        <v>0</v>
      </c>
      <c r="I142" s="330">
        <v>0</v>
      </c>
      <c r="J142" s="331"/>
      <c r="K142" s="120"/>
      <c r="L142" s="4">
        <v>0</v>
      </c>
      <c r="M142" s="287">
        <v>0</v>
      </c>
      <c r="N142" s="287">
        <v>0</v>
      </c>
      <c r="O142" s="4"/>
      <c r="P142" s="4">
        <v>0</v>
      </c>
      <c r="Q142" s="1"/>
      <c r="R142" s="80">
        <f>R143-942302.36</f>
        <v>-574752.7900000016</v>
      </c>
      <c r="S142" s="1"/>
    </row>
    <row r="143" spans="1:19" ht="27" customHeight="1" thickBot="1">
      <c r="A143" s="112"/>
      <c r="B143" s="488" t="s">
        <v>13</v>
      </c>
      <c r="C143" s="488"/>
      <c r="D143" s="488"/>
      <c r="E143" s="489"/>
      <c r="F143" s="4"/>
      <c r="G143" s="4">
        <f>F10+G17-G33-G37-G41-G46-G56-G66-G69-G73-G76-G80-G88-G101-G132-G135-G138-G82</f>
        <v>41848.36000000003</v>
      </c>
      <c r="H143" s="4">
        <f>G18+H10-H30</f>
        <v>114605.43</v>
      </c>
      <c r="I143" s="330">
        <f>I10+G19-I103-I67-I96-I77</f>
        <v>0</v>
      </c>
      <c r="J143" s="331"/>
      <c r="K143" s="120">
        <f>O10+G22-J55</f>
        <v>17201.999999999996</v>
      </c>
      <c r="L143" s="4">
        <f>L10+G23-J140</f>
        <v>177477.28</v>
      </c>
      <c r="M143" s="287">
        <v>0</v>
      </c>
      <c r="N143" s="4">
        <f>N10+G21-J34-J91</f>
        <v>16416.5</v>
      </c>
      <c r="O143" s="121"/>
      <c r="P143" s="4">
        <f>SUM(G143:O143)</f>
        <v>367549.57000000007</v>
      </c>
      <c r="Q143" s="1"/>
      <c r="R143" s="80">
        <f>P5+L16-L30</f>
        <v>367549.56999999844</v>
      </c>
      <c r="S143" s="37"/>
    </row>
    <row r="144" spans="1:19" ht="21" customHeight="1" thickBot="1">
      <c r="A144" s="122"/>
      <c r="B144" s="323" t="s">
        <v>245</v>
      </c>
      <c r="C144" s="323"/>
      <c r="D144" s="323"/>
      <c r="E144" s="324"/>
      <c r="F144" s="325"/>
      <c r="G144" s="325"/>
      <c r="H144" s="325"/>
      <c r="I144" s="325"/>
      <c r="J144" s="325"/>
      <c r="K144" s="325"/>
      <c r="L144" s="325"/>
      <c r="M144" s="325"/>
      <c r="N144" s="484"/>
      <c r="O144" s="485"/>
      <c r="P144" s="123">
        <f>P143</f>
        <v>367549.57000000007</v>
      </c>
      <c r="Q144" s="1"/>
      <c r="R144" s="37">
        <f>P5+L16-L30</f>
        <v>367549.56999999844</v>
      </c>
      <c r="S144" s="37"/>
    </row>
    <row r="145" spans="1:19" ht="15">
      <c r="A145" s="1"/>
      <c r="B145" s="124"/>
      <c r="C145" s="124"/>
      <c r="D145" s="124"/>
      <c r="E145" s="124"/>
      <c r="F145" s="125"/>
      <c r="G145" s="125"/>
      <c r="H145" s="125"/>
      <c r="I145" s="125"/>
      <c r="J145" s="125"/>
      <c r="K145" s="126"/>
      <c r="L145" s="125"/>
      <c r="M145" s="125"/>
      <c r="N145" s="125"/>
      <c r="O145" s="127"/>
      <c r="P145" s="128"/>
      <c r="Q145" s="1"/>
      <c r="R145" s="37"/>
      <c r="S145" s="1"/>
    </row>
    <row r="146" spans="1:19" ht="15">
      <c r="A146" s="1"/>
      <c r="B146" s="486" t="s">
        <v>204</v>
      </c>
      <c r="C146" s="486"/>
      <c r="D146" s="486"/>
      <c r="E146" s="486"/>
      <c r="F146" s="486"/>
      <c r="G146" s="486"/>
      <c r="H146" s="486"/>
      <c r="I146" s="486"/>
      <c r="J146" s="486"/>
      <c r="K146" s="486"/>
      <c r="L146" s="486"/>
      <c r="M146" s="486"/>
      <c r="N146" s="486"/>
      <c r="O146" s="487" t="s">
        <v>205</v>
      </c>
      <c r="P146" s="487"/>
      <c r="Q146" s="1"/>
      <c r="R146" s="80"/>
      <c r="S146" s="37"/>
    </row>
    <row r="147" spans="1:19" ht="15">
      <c r="A147" s="1"/>
      <c r="B147" s="486" t="s">
        <v>206</v>
      </c>
      <c r="C147" s="486"/>
      <c r="D147" s="486"/>
      <c r="E147" s="486"/>
      <c r="F147" s="486"/>
      <c r="G147" s="486"/>
      <c r="H147" s="486"/>
      <c r="I147" s="486"/>
      <c r="J147" s="486"/>
      <c r="K147" s="486"/>
      <c r="L147" s="486"/>
      <c r="M147" s="486"/>
      <c r="N147" s="486"/>
      <c r="O147" s="486" t="s">
        <v>207</v>
      </c>
      <c r="P147" s="486"/>
      <c r="Q147" s="1"/>
      <c r="R147" s="1"/>
      <c r="S147" s="1"/>
    </row>
    <row r="148" spans="1:19" ht="15">
      <c r="A148" s="1"/>
      <c r="B148" s="284"/>
      <c r="C148" s="284"/>
      <c r="D148" s="284"/>
      <c r="E148" s="284"/>
      <c r="F148" s="284"/>
      <c r="G148" s="284"/>
      <c r="H148" s="284"/>
      <c r="I148" s="284"/>
      <c r="J148" s="130"/>
      <c r="K148" s="131"/>
      <c r="L148" s="130"/>
      <c r="M148" s="284"/>
      <c r="N148" s="284"/>
      <c r="O148" s="284"/>
      <c r="P148" s="130"/>
      <c r="Q148" s="1"/>
      <c r="R148" s="37"/>
      <c r="S148" s="1"/>
    </row>
    <row r="150" spans="1:19" ht="15">
      <c r="A150" s="1"/>
      <c r="B150" s="1"/>
      <c r="C150" s="1"/>
      <c r="D150" s="1"/>
      <c r="E150" s="1"/>
      <c r="F150" s="1"/>
      <c r="G150" s="1"/>
      <c r="H150" s="1"/>
      <c r="I150" s="132"/>
      <c r="J150" s="1"/>
      <c r="K150" s="1"/>
      <c r="L150" s="1"/>
      <c r="M150" s="1"/>
      <c r="N150" s="1"/>
      <c r="O150" s="1"/>
      <c r="P150" s="1"/>
      <c r="Q150" s="1"/>
      <c r="R150" s="37"/>
      <c r="S150" s="1"/>
    </row>
    <row r="151" spans="1:19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37"/>
      <c r="S151" s="1"/>
    </row>
    <row r="152" spans="1:19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7"/>
      <c r="O152" s="1"/>
      <c r="P152" s="1"/>
      <c r="Q152" s="1"/>
      <c r="R152" s="1"/>
      <c r="S152" s="1"/>
    </row>
    <row r="153" spans="12:16" ht="15">
      <c r="L153" s="1"/>
      <c r="M153" s="1"/>
      <c r="N153" s="37"/>
      <c r="O153" s="1"/>
      <c r="P153" s="37"/>
    </row>
    <row r="154" spans="12:16" ht="15">
      <c r="L154" s="1"/>
      <c r="M154" s="1"/>
      <c r="N154" s="133"/>
      <c r="O154" s="1"/>
      <c r="P154" s="37"/>
    </row>
    <row r="155" spans="12:16" ht="15">
      <c r="L155" s="37"/>
      <c r="M155" s="1"/>
      <c r="N155" s="1"/>
      <c r="O155" s="1"/>
      <c r="P155" s="1"/>
    </row>
    <row r="156" spans="12:16" ht="15">
      <c r="L156" s="37"/>
      <c r="M156" s="37"/>
      <c r="N156" s="1"/>
      <c r="O156" s="1"/>
      <c r="P156" s="1"/>
    </row>
  </sheetData>
  <sheetProtection/>
  <mergeCells count="201">
    <mergeCell ref="B146:E146"/>
    <mergeCell ref="F146:N146"/>
    <mergeCell ref="O146:P146"/>
    <mergeCell ref="B147:E147"/>
    <mergeCell ref="F147:N147"/>
    <mergeCell ref="O147:P147"/>
    <mergeCell ref="I141:J141"/>
    <mergeCell ref="B142:E142"/>
    <mergeCell ref="I142:J142"/>
    <mergeCell ref="B143:E143"/>
    <mergeCell ref="I143:J143"/>
    <mergeCell ref="B144:E144"/>
    <mergeCell ref="F144:O144"/>
    <mergeCell ref="B136:D136"/>
    <mergeCell ref="B137:D137"/>
    <mergeCell ref="B138:D138"/>
    <mergeCell ref="B139:D139"/>
    <mergeCell ref="B140:D140"/>
    <mergeCell ref="B141:E141"/>
    <mergeCell ref="B130:D130"/>
    <mergeCell ref="B131:D131"/>
    <mergeCell ref="B132:D132"/>
    <mergeCell ref="B133:D133"/>
    <mergeCell ref="B134:D134"/>
    <mergeCell ref="B135:D135"/>
    <mergeCell ref="B124:D124"/>
    <mergeCell ref="B125:D125"/>
    <mergeCell ref="B126:D126"/>
    <mergeCell ref="B127:D127"/>
    <mergeCell ref="B128:D128"/>
    <mergeCell ref="B129:D129"/>
    <mergeCell ref="B120:P121"/>
    <mergeCell ref="B122:D123"/>
    <mergeCell ref="E122:E123"/>
    <mergeCell ref="F122:F123"/>
    <mergeCell ref="G122:K122"/>
    <mergeCell ref="L122:L123"/>
    <mergeCell ref="M122:M123"/>
    <mergeCell ref="N122:N123"/>
    <mergeCell ref="O122:O123"/>
    <mergeCell ref="P122:P123"/>
    <mergeCell ref="B114:D114"/>
    <mergeCell ref="B115:D115"/>
    <mergeCell ref="B116:D116"/>
    <mergeCell ref="B117:D117"/>
    <mergeCell ref="B118:D118"/>
    <mergeCell ref="B119:D119"/>
    <mergeCell ref="B108:D108"/>
    <mergeCell ref="B109:D109"/>
    <mergeCell ref="B110:D110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96:D96"/>
    <mergeCell ref="B97:D97"/>
    <mergeCell ref="B98:D98"/>
    <mergeCell ref="B99:D99"/>
    <mergeCell ref="B100:D100"/>
    <mergeCell ref="B101:D101"/>
    <mergeCell ref="B90:D90"/>
    <mergeCell ref="B91:D91"/>
    <mergeCell ref="B92:D92"/>
    <mergeCell ref="B93:D93"/>
    <mergeCell ref="B94:D94"/>
    <mergeCell ref="B95:D95"/>
    <mergeCell ref="O84:O85"/>
    <mergeCell ref="P84:P85"/>
    <mergeCell ref="B86:D86"/>
    <mergeCell ref="B87:D87"/>
    <mergeCell ref="B88:D88"/>
    <mergeCell ref="B89:D89"/>
    <mergeCell ref="E84:E85"/>
    <mergeCell ref="F84:F85"/>
    <mergeCell ref="G84:K84"/>
    <mergeCell ref="L84:L85"/>
    <mergeCell ref="M84:M85"/>
    <mergeCell ref="N84:N85"/>
    <mergeCell ref="B80:D80"/>
    <mergeCell ref="B81:D81"/>
    <mergeCell ref="B82:D82"/>
    <mergeCell ref="B83:D83"/>
    <mergeCell ref="A84:A85"/>
    <mergeCell ref="B84:D85"/>
    <mergeCell ref="B74:D74"/>
    <mergeCell ref="B75:D75"/>
    <mergeCell ref="B76:D76"/>
    <mergeCell ref="B77:D77"/>
    <mergeCell ref="B78:D78"/>
    <mergeCell ref="B79:D79"/>
    <mergeCell ref="B68:D68"/>
    <mergeCell ref="B69:D69"/>
    <mergeCell ref="B70:D70"/>
    <mergeCell ref="B71:D71"/>
    <mergeCell ref="B72:D72"/>
    <mergeCell ref="B73:D73"/>
    <mergeCell ref="B62:D62"/>
    <mergeCell ref="B63:D63"/>
    <mergeCell ref="B64:D64"/>
    <mergeCell ref="B65:D65"/>
    <mergeCell ref="B66:D66"/>
    <mergeCell ref="B67:D67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3:D43"/>
    <mergeCell ref="B44:D44"/>
    <mergeCell ref="B45:D45"/>
    <mergeCell ref="B46:D46"/>
    <mergeCell ref="B47:D47"/>
    <mergeCell ref="B49:D49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M27:M28"/>
    <mergeCell ref="N27:N28"/>
    <mergeCell ref="O27:O28"/>
    <mergeCell ref="P27:P28"/>
    <mergeCell ref="B29:D29"/>
    <mergeCell ref="B30:D30"/>
    <mergeCell ref="B23:D23"/>
    <mergeCell ref="G23:J23"/>
    <mergeCell ref="A25:A26"/>
    <mergeCell ref="B25:P26"/>
    <mergeCell ref="A27:A28"/>
    <mergeCell ref="B27:D28"/>
    <mergeCell ref="E27:E28"/>
    <mergeCell ref="F27:F28"/>
    <mergeCell ref="G27:K27"/>
    <mergeCell ref="L27:L28"/>
    <mergeCell ref="B20:D20"/>
    <mergeCell ref="G20:J20"/>
    <mergeCell ref="B21:D21"/>
    <mergeCell ref="G21:J21"/>
    <mergeCell ref="B22:D22"/>
    <mergeCell ref="G22:J22"/>
    <mergeCell ref="B17:D17"/>
    <mergeCell ref="G17:J17"/>
    <mergeCell ref="B18:D18"/>
    <mergeCell ref="G18:J18"/>
    <mergeCell ref="B19:D19"/>
    <mergeCell ref="G19:J19"/>
    <mergeCell ref="P12:P13"/>
    <mergeCell ref="B14:D14"/>
    <mergeCell ref="G14:J14"/>
    <mergeCell ref="A15:A16"/>
    <mergeCell ref="B15:D16"/>
    <mergeCell ref="G15:J15"/>
    <mergeCell ref="G16:J16"/>
    <mergeCell ref="B11:E11"/>
    <mergeCell ref="F11:P11"/>
    <mergeCell ref="A12:A13"/>
    <mergeCell ref="B12:E13"/>
    <mergeCell ref="F12:F13"/>
    <mergeCell ref="G12:K13"/>
    <mergeCell ref="L12:L13"/>
    <mergeCell ref="M12:M13"/>
    <mergeCell ref="N12:N13"/>
    <mergeCell ref="O12:O13"/>
    <mergeCell ref="B10:E10"/>
    <mergeCell ref="F10:G10"/>
    <mergeCell ref="I10:J10"/>
    <mergeCell ref="B6:E6"/>
    <mergeCell ref="F6:O6"/>
    <mergeCell ref="B7:E7"/>
    <mergeCell ref="F7:P7"/>
    <mergeCell ref="B8:E8"/>
    <mergeCell ref="F8:G8"/>
    <mergeCell ref="I8:J8"/>
    <mergeCell ref="B1:P1"/>
    <mergeCell ref="B2:P2"/>
    <mergeCell ref="B3:P3"/>
    <mergeCell ref="B4:P4"/>
    <mergeCell ref="B5:E5"/>
    <mergeCell ref="F5:O5"/>
    <mergeCell ref="B9:E9"/>
    <mergeCell ref="F9:G9"/>
    <mergeCell ref="I9:J9"/>
  </mergeCells>
  <printOptions/>
  <pageMargins left="0" right="0" top="0" bottom="0" header="0" footer="0"/>
  <pageSetup horizontalDpi="600" verticalDpi="6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56"/>
  <sheetViews>
    <sheetView zoomScalePageLayoutView="0" workbookViewId="0" topLeftCell="A142">
      <selection activeCell="J165" sqref="J165"/>
    </sheetView>
  </sheetViews>
  <sheetFormatPr defaultColWidth="9.140625" defaultRowHeight="15"/>
  <cols>
    <col min="1" max="1" width="3.28125" style="2" customWidth="1"/>
    <col min="2" max="3" width="9.140625" style="2" customWidth="1"/>
    <col min="4" max="4" width="8.57421875" style="2" customWidth="1"/>
    <col min="5" max="5" width="13.00390625" style="2" customWidth="1"/>
    <col min="6" max="6" width="14.140625" style="2" customWidth="1"/>
    <col min="7" max="7" width="12.8515625" style="2" customWidth="1"/>
    <col min="8" max="8" width="12.140625" style="2" customWidth="1"/>
    <col min="9" max="9" width="8.7109375" style="2" customWidth="1"/>
    <col min="10" max="10" width="11.140625" style="2" customWidth="1"/>
    <col min="11" max="11" width="12.7109375" style="2" customWidth="1"/>
    <col min="12" max="12" width="13.8515625" style="2" customWidth="1"/>
    <col min="13" max="14" width="12.8515625" style="2" customWidth="1"/>
    <col min="15" max="15" width="8.421875" style="2" customWidth="1"/>
    <col min="16" max="16" width="9.28125" style="2" customWidth="1"/>
    <col min="17" max="17" width="9.140625" style="2" customWidth="1"/>
    <col min="18" max="18" width="12.140625" style="2" customWidth="1"/>
    <col min="19" max="19" width="11.140625" style="2" bestFit="1" customWidth="1"/>
    <col min="20" max="16384" width="9.140625" style="2" customWidth="1"/>
  </cols>
  <sheetData>
    <row r="1" spans="1:16" ht="15">
      <c r="A1" s="1"/>
      <c r="B1" s="318" t="s">
        <v>0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</row>
    <row r="2" spans="1:16" ht="15">
      <c r="A2" s="1"/>
      <c r="B2" s="319" t="s">
        <v>247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</row>
    <row r="3" spans="1:16" ht="15.75" thickBot="1">
      <c r="A3" s="1"/>
      <c r="B3" s="320" t="s">
        <v>1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</row>
    <row r="4" spans="1:16" ht="15.75" thickBot="1">
      <c r="A4" s="1"/>
      <c r="B4" s="321" t="s">
        <v>2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</row>
    <row r="5" spans="1:16" ht="21.75" customHeight="1" thickBot="1">
      <c r="A5" s="3"/>
      <c r="B5" s="322" t="s">
        <v>209</v>
      </c>
      <c r="C5" s="323"/>
      <c r="D5" s="323"/>
      <c r="E5" s="324"/>
      <c r="F5" s="325"/>
      <c r="G5" s="325"/>
      <c r="H5" s="325"/>
      <c r="I5" s="325"/>
      <c r="J5" s="325"/>
      <c r="K5" s="325"/>
      <c r="L5" s="325"/>
      <c r="M5" s="325"/>
      <c r="N5" s="325"/>
      <c r="O5" s="326"/>
      <c r="P5" s="4">
        <v>9380.24</v>
      </c>
    </row>
    <row r="6" spans="1:16" ht="22.5" customHeight="1" thickBot="1">
      <c r="A6" s="3"/>
      <c r="B6" s="322" t="s">
        <v>248</v>
      </c>
      <c r="C6" s="323"/>
      <c r="D6" s="323"/>
      <c r="E6" s="324"/>
      <c r="F6" s="325"/>
      <c r="G6" s="325"/>
      <c r="H6" s="325"/>
      <c r="I6" s="325"/>
      <c r="J6" s="325"/>
      <c r="K6" s="325"/>
      <c r="L6" s="325"/>
      <c r="M6" s="325"/>
      <c r="N6" s="325"/>
      <c r="O6" s="326"/>
      <c r="P6" s="300">
        <f>P10</f>
        <v>367549.56999999995</v>
      </c>
    </row>
    <row r="7" spans="1:16" ht="15.75" thickBot="1">
      <c r="A7" s="3"/>
      <c r="B7" s="332"/>
      <c r="C7" s="333"/>
      <c r="D7" s="333"/>
      <c r="E7" s="334"/>
      <c r="F7" s="335"/>
      <c r="G7" s="335"/>
      <c r="H7" s="335"/>
      <c r="I7" s="335"/>
      <c r="J7" s="335"/>
      <c r="K7" s="335"/>
      <c r="L7" s="335"/>
      <c r="M7" s="335"/>
      <c r="N7" s="336"/>
      <c r="O7" s="336"/>
      <c r="P7" s="337"/>
    </row>
    <row r="8" spans="1:16" ht="75.75" thickBot="1">
      <c r="A8" s="6"/>
      <c r="B8" s="322" t="s">
        <v>3</v>
      </c>
      <c r="C8" s="323"/>
      <c r="D8" s="323"/>
      <c r="E8" s="324"/>
      <c r="F8" s="338" t="s">
        <v>4</v>
      </c>
      <c r="G8" s="339"/>
      <c r="H8" s="7" t="s">
        <v>5</v>
      </c>
      <c r="I8" s="338" t="s">
        <v>6</v>
      </c>
      <c r="J8" s="339"/>
      <c r="K8" s="8" t="s">
        <v>7</v>
      </c>
      <c r="L8" s="7" t="s">
        <v>8</v>
      </c>
      <c r="M8" s="302" t="s">
        <v>9</v>
      </c>
      <c r="N8" s="311" t="s">
        <v>10</v>
      </c>
      <c r="O8" s="11" t="s">
        <v>11</v>
      </c>
      <c r="P8" s="12"/>
    </row>
    <row r="9" spans="1:16" ht="20.25" customHeight="1" thickBot="1">
      <c r="A9" s="3"/>
      <c r="B9" s="327" t="s">
        <v>12</v>
      </c>
      <c r="C9" s="328"/>
      <c r="D9" s="328"/>
      <c r="E9" s="329"/>
      <c r="F9" s="330">
        <v>0</v>
      </c>
      <c r="G9" s="331"/>
      <c r="H9" s="4">
        <v>0</v>
      </c>
      <c r="I9" s="330">
        <v>0</v>
      </c>
      <c r="J9" s="331"/>
      <c r="K9" s="13">
        <v>0</v>
      </c>
      <c r="L9" s="4">
        <v>0</v>
      </c>
      <c r="M9" s="299">
        <v>0</v>
      </c>
      <c r="N9" s="4">
        <v>0</v>
      </c>
      <c r="O9" s="15">
        <v>0</v>
      </c>
      <c r="P9" s="300">
        <v>0</v>
      </c>
    </row>
    <row r="10" spans="1:16" ht="24.75" customHeight="1" thickBot="1">
      <c r="A10" s="3"/>
      <c r="B10" s="327" t="s">
        <v>13</v>
      </c>
      <c r="C10" s="328"/>
      <c r="D10" s="328"/>
      <c r="E10" s="329"/>
      <c r="F10" s="330">
        <v>41848.36</v>
      </c>
      <c r="G10" s="331"/>
      <c r="H10" s="4">
        <v>114605.43</v>
      </c>
      <c r="I10" s="330">
        <v>0</v>
      </c>
      <c r="J10" s="331"/>
      <c r="K10" s="13">
        <v>0</v>
      </c>
      <c r="L10" s="4">
        <v>177477.28</v>
      </c>
      <c r="M10" s="299">
        <v>0</v>
      </c>
      <c r="N10" s="4">
        <v>16416.5</v>
      </c>
      <c r="O10" s="4">
        <v>17202</v>
      </c>
      <c r="P10" s="300">
        <f>SUM(F10:O10)</f>
        <v>367549.56999999995</v>
      </c>
    </row>
    <row r="11" spans="1:16" ht="15.75" thickBot="1">
      <c r="A11" s="307"/>
      <c r="B11" s="360"/>
      <c r="C11" s="361"/>
      <c r="D11" s="361"/>
      <c r="E11" s="361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3"/>
    </row>
    <row r="12" spans="1:16" ht="15">
      <c r="A12" s="346"/>
      <c r="B12" s="364" t="s">
        <v>14</v>
      </c>
      <c r="C12" s="365"/>
      <c r="D12" s="365"/>
      <c r="E12" s="366"/>
      <c r="F12" s="340"/>
      <c r="G12" s="370" t="s">
        <v>15</v>
      </c>
      <c r="H12" s="362"/>
      <c r="I12" s="362"/>
      <c r="J12" s="362"/>
      <c r="K12" s="363"/>
      <c r="L12" s="340" t="s">
        <v>16</v>
      </c>
      <c r="M12" s="340" t="s">
        <v>17</v>
      </c>
      <c r="N12" s="340" t="s">
        <v>18</v>
      </c>
      <c r="O12" s="340" t="s">
        <v>19</v>
      </c>
      <c r="P12" s="340" t="s">
        <v>20</v>
      </c>
    </row>
    <row r="13" spans="1:16" ht="15.75" thickBot="1">
      <c r="A13" s="347"/>
      <c r="B13" s="367"/>
      <c r="C13" s="368"/>
      <c r="D13" s="368"/>
      <c r="E13" s="369"/>
      <c r="F13" s="341"/>
      <c r="G13" s="371"/>
      <c r="H13" s="372"/>
      <c r="I13" s="372"/>
      <c r="J13" s="372"/>
      <c r="K13" s="373"/>
      <c r="L13" s="341"/>
      <c r="M13" s="341"/>
      <c r="N13" s="341"/>
      <c r="O13" s="341"/>
      <c r="P13" s="341"/>
    </row>
    <row r="14" spans="1:16" ht="15.75" thickBot="1">
      <c r="A14" s="3"/>
      <c r="B14" s="342" t="s">
        <v>21</v>
      </c>
      <c r="C14" s="343"/>
      <c r="D14" s="344"/>
      <c r="E14" s="17" t="s">
        <v>22</v>
      </c>
      <c r="F14" s="306">
        <v>3</v>
      </c>
      <c r="G14" s="345">
        <v>4</v>
      </c>
      <c r="H14" s="335"/>
      <c r="I14" s="335"/>
      <c r="J14" s="337"/>
      <c r="K14" s="19">
        <v>5</v>
      </c>
      <c r="L14" s="305">
        <v>6</v>
      </c>
      <c r="M14" s="7">
        <v>7</v>
      </c>
      <c r="N14" s="305">
        <v>8</v>
      </c>
      <c r="O14" s="305">
        <v>9</v>
      </c>
      <c r="P14" s="7">
        <v>10</v>
      </c>
    </row>
    <row r="15" spans="1:16" ht="31.5" customHeight="1" thickBot="1">
      <c r="A15" s="346"/>
      <c r="B15" s="348" t="s">
        <v>23</v>
      </c>
      <c r="C15" s="349"/>
      <c r="D15" s="350"/>
      <c r="E15" s="21" t="s">
        <v>24</v>
      </c>
      <c r="F15" s="21" t="s">
        <v>25</v>
      </c>
      <c r="G15" s="354" t="s">
        <v>26</v>
      </c>
      <c r="H15" s="355"/>
      <c r="I15" s="355"/>
      <c r="J15" s="356"/>
      <c r="K15" s="22" t="s">
        <v>27</v>
      </c>
      <c r="L15" s="23" t="s">
        <v>26</v>
      </c>
      <c r="M15" s="24" t="s">
        <v>28</v>
      </c>
      <c r="N15" s="24" t="s">
        <v>26</v>
      </c>
      <c r="O15" s="24" t="s">
        <v>26</v>
      </c>
      <c r="P15" s="25" t="s">
        <v>26</v>
      </c>
    </row>
    <row r="16" spans="1:16" ht="36" customHeight="1" thickBot="1">
      <c r="A16" s="347"/>
      <c r="B16" s="351"/>
      <c r="C16" s="352"/>
      <c r="D16" s="353"/>
      <c r="E16" s="26">
        <f>SUM(E17:E23)</f>
        <v>1700255</v>
      </c>
      <c r="F16" s="27">
        <f>SUM(F17:F23)</f>
        <v>18637741</v>
      </c>
      <c r="G16" s="357">
        <f>G17+G18+G19+G20+G21+G22+G23</f>
        <v>2346622.2399999998</v>
      </c>
      <c r="H16" s="358"/>
      <c r="I16" s="358"/>
      <c r="J16" s="359"/>
      <c r="K16" s="309">
        <f>SUM(K17:K23)</f>
        <v>2346622.2399999998</v>
      </c>
      <c r="L16" s="309">
        <f>SUM(L17:L23)</f>
        <v>18404335.72</v>
      </c>
      <c r="M16" s="309">
        <f>SUM(M17:M23)</f>
        <v>-646367.2399999998</v>
      </c>
      <c r="N16" s="309">
        <f>SUM(N17:N23)</f>
        <v>233405.28000000026</v>
      </c>
      <c r="O16" s="29">
        <v>0</v>
      </c>
      <c r="P16" s="29">
        <v>0</v>
      </c>
    </row>
    <row r="17" spans="1:18" ht="60" customHeight="1" thickBot="1">
      <c r="A17" s="30" t="s">
        <v>29</v>
      </c>
      <c r="B17" s="383" t="s">
        <v>244</v>
      </c>
      <c r="C17" s="384"/>
      <c r="D17" s="385"/>
      <c r="E17" s="154">
        <v>1240110</v>
      </c>
      <c r="F17" s="31">
        <f>11898991+E17</f>
        <v>13139101</v>
      </c>
      <c r="G17" s="377">
        <v>2154742.78</v>
      </c>
      <c r="H17" s="378"/>
      <c r="I17" s="378"/>
      <c r="J17" s="379"/>
      <c r="K17" s="310">
        <f>G17</f>
        <v>2154742.78</v>
      </c>
      <c r="L17" s="33">
        <f>9726885.48+K17</f>
        <v>11881628.26</v>
      </c>
      <c r="M17" s="34">
        <f>E17-K17</f>
        <v>-914632.7799999998</v>
      </c>
      <c r="N17" s="35">
        <f>F17-L17</f>
        <v>1257472.7400000002</v>
      </c>
      <c r="O17" s="36">
        <v>0</v>
      </c>
      <c r="P17" s="36">
        <v>0</v>
      </c>
      <c r="Q17" s="1"/>
      <c r="R17" s="37"/>
    </row>
    <row r="18" spans="1:18" ht="41.25" customHeight="1" thickBot="1">
      <c r="A18" s="38" t="s">
        <v>31</v>
      </c>
      <c r="B18" s="386" t="s">
        <v>32</v>
      </c>
      <c r="C18" s="387"/>
      <c r="D18" s="388"/>
      <c r="E18" s="148">
        <v>450645</v>
      </c>
      <c r="F18" s="31">
        <f>4957095+E18</f>
        <v>5407740</v>
      </c>
      <c r="G18" s="377">
        <v>6050</v>
      </c>
      <c r="H18" s="378"/>
      <c r="I18" s="378"/>
      <c r="J18" s="379"/>
      <c r="K18" s="310">
        <f>G18</f>
        <v>6050</v>
      </c>
      <c r="L18" s="33">
        <f>5007150+K18</f>
        <v>5013200</v>
      </c>
      <c r="M18" s="34">
        <f>E18-K18</f>
        <v>444595</v>
      </c>
      <c r="N18" s="35">
        <f>F18-L18</f>
        <v>394540</v>
      </c>
      <c r="O18" s="36">
        <v>0</v>
      </c>
      <c r="P18" s="36">
        <v>0</v>
      </c>
      <c r="Q18" s="1"/>
      <c r="R18" s="1"/>
    </row>
    <row r="19" spans="1:18" ht="29.25" customHeight="1" thickBot="1">
      <c r="A19" s="38" t="s">
        <v>33</v>
      </c>
      <c r="B19" s="389" t="s">
        <v>34</v>
      </c>
      <c r="C19" s="390"/>
      <c r="D19" s="391"/>
      <c r="E19" s="39"/>
      <c r="F19" s="31">
        <f>0+E19</f>
        <v>0</v>
      </c>
      <c r="G19" s="377">
        <v>3000</v>
      </c>
      <c r="H19" s="378"/>
      <c r="I19" s="378"/>
      <c r="J19" s="379"/>
      <c r="K19" s="310">
        <f>G19</f>
        <v>3000</v>
      </c>
      <c r="L19" s="33">
        <f>0+K19</f>
        <v>3000</v>
      </c>
      <c r="M19" s="34">
        <f aca="true" t="shared" si="0" ref="M19:N23">E19-K19</f>
        <v>-3000</v>
      </c>
      <c r="N19" s="35">
        <f t="shared" si="0"/>
        <v>-3000</v>
      </c>
      <c r="O19" s="36">
        <v>0</v>
      </c>
      <c r="P19" s="40">
        <v>0</v>
      </c>
      <c r="Q19" s="1"/>
      <c r="R19" s="1"/>
    </row>
    <row r="20" spans="1:18" ht="61.5" customHeight="1" thickBot="1">
      <c r="A20" s="41" t="s">
        <v>35</v>
      </c>
      <c r="B20" s="374" t="s">
        <v>36</v>
      </c>
      <c r="C20" s="375"/>
      <c r="D20" s="376"/>
      <c r="E20" s="42"/>
      <c r="F20" s="31">
        <f>0+E20</f>
        <v>0</v>
      </c>
      <c r="G20" s="377"/>
      <c r="H20" s="378"/>
      <c r="I20" s="378"/>
      <c r="J20" s="379"/>
      <c r="K20" s="310">
        <f>G20</f>
        <v>0</v>
      </c>
      <c r="L20" s="33">
        <f>0+K20</f>
        <v>0</v>
      </c>
      <c r="M20" s="34">
        <f t="shared" si="0"/>
        <v>0</v>
      </c>
      <c r="N20" s="35">
        <f t="shared" si="0"/>
        <v>0</v>
      </c>
      <c r="O20" s="36">
        <v>0</v>
      </c>
      <c r="P20" s="36">
        <v>0</v>
      </c>
      <c r="Q20" s="37"/>
      <c r="R20" s="37"/>
    </row>
    <row r="21" spans="1:18" ht="33" customHeight="1" thickBot="1">
      <c r="A21" s="43" t="s">
        <v>37</v>
      </c>
      <c r="B21" s="380" t="s">
        <v>38</v>
      </c>
      <c r="C21" s="381"/>
      <c r="D21" s="382"/>
      <c r="E21" s="44"/>
      <c r="F21" s="31">
        <f>0+E21</f>
        <v>0</v>
      </c>
      <c r="G21" s="377">
        <v>12700</v>
      </c>
      <c r="H21" s="378"/>
      <c r="I21" s="378"/>
      <c r="J21" s="379"/>
      <c r="K21" s="310">
        <f>G21</f>
        <v>12700</v>
      </c>
      <c r="L21" s="33">
        <f>29000+K21</f>
        <v>41700</v>
      </c>
      <c r="M21" s="34">
        <f t="shared" si="0"/>
        <v>-12700</v>
      </c>
      <c r="N21" s="35">
        <f t="shared" si="0"/>
        <v>-41700</v>
      </c>
      <c r="O21" s="36">
        <v>0</v>
      </c>
      <c r="P21" s="36">
        <v>0</v>
      </c>
      <c r="Q21" s="37"/>
      <c r="R21" s="1"/>
    </row>
    <row r="22" spans="1:18" ht="41.25" customHeight="1" thickBot="1">
      <c r="A22" s="43" t="s">
        <v>39</v>
      </c>
      <c r="B22" s="383" t="s">
        <v>40</v>
      </c>
      <c r="C22" s="384"/>
      <c r="D22" s="385"/>
      <c r="E22" s="149">
        <v>9500</v>
      </c>
      <c r="F22" s="31">
        <f>81400+E22</f>
        <v>90900</v>
      </c>
      <c r="G22" s="377">
        <v>18694.46</v>
      </c>
      <c r="H22" s="378"/>
      <c r="I22" s="378"/>
      <c r="J22" s="379"/>
      <c r="K22" s="310">
        <f>G22</f>
        <v>18694.46</v>
      </c>
      <c r="L22" s="33">
        <f>91269.25+K22</f>
        <v>109963.70999999999</v>
      </c>
      <c r="M22" s="34">
        <f>E22-K22</f>
        <v>-9194.46</v>
      </c>
      <c r="N22" s="35">
        <f t="shared" si="0"/>
        <v>-19063.709999999992</v>
      </c>
      <c r="O22" s="36">
        <v>0</v>
      </c>
      <c r="P22" s="36">
        <v>0</v>
      </c>
      <c r="Q22" s="1"/>
      <c r="R22" s="1"/>
    </row>
    <row r="23" spans="1:18" ht="37.5" customHeight="1" thickBot="1">
      <c r="A23" s="43" t="s">
        <v>41</v>
      </c>
      <c r="B23" s="392" t="s">
        <v>42</v>
      </c>
      <c r="C23" s="393"/>
      <c r="D23" s="394"/>
      <c r="E23" s="46"/>
      <c r="F23" s="31"/>
      <c r="G23" s="377">
        <v>151435</v>
      </c>
      <c r="H23" s="378"/>
      <c r="I23" s="378"/>
      <c r="J23" s="379"/>
      <c r="K23" s="310">
        <f>G23</f>
        <v>151435</v>
      </c>
      <c r="L23" s="33">
        <f>1203408.75+K23</f>
        <v>1354843.75</v>
      </c>
      <c r="M23" s="34">
        <f t="shared" si="0"/>
        <v>-151435</v>
      </c>
      <c r="N23" s="35">
        <f t="shared" si="0"/>
        <v>-1354843.75</v>
      </c>
      <c r="O23" s="36">
        <v>0</v>
      </c>
      <c r="P23" s="36">
        <v>0</v>
      </c>
      <c r="Q23" s="1"/>
      <c r="R23" s="1"/>
    </row>
    <row r="24" spans="1:18" ht="11.25" customHeight="1" thickBot="1">
      <c r="A24" s="275"/>
      <c r="B24" s="276"/>
      <c r="C24" s="277"/>
      <c r="D24" s="277"/>
      <c r="E24" s="278"/>
      <c r="F24" s="279"/>
      <c r="G24" s="280"/>
      <c r="H24" s="280"/>
      <c r="I24" s="280"/>
      <c r="J24" s="280"/>
      <c r="K24" s="280"/>
      <c r="L24" s="90"/>
      <c r="M24" s="281"/>
      <c r="N24" s="282"/>
      <c r="O24" s="280"/>
      <c r="P24" s="283"/>
      <c r="Q24" s="1"/>
      <c r="R24" s="1"/>
    </row>
    <row r="25" spans="1:18" ht="15">
      <c r="A25" s="346"/>
      <c r="B25" s="395" t="s">
        <v>43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7"/>
      <c r="Q25" s="1"/>
      <c r="R25" s="1"/>
    </row>
    <row r="26" spans="1:18" ht="1.5" customHeight="1" thickBot="1">
      <c r="A26" s="347"/>
      <c r="B26" s="398"/>
      <c r="C26" s="399"/>
      <c r="D26" s="399"/>
      <c r="E26" s="399"/>
      <c r="F26" s="399"/>
      <c r="G26" s="399"/>
      <c r="H26" s="399"/>
      <c r="I26" s="399"/>
      <c r="J26" s="399"/>
      <c r="K26" s="399"/>
      <c r="L26" s="399"/>
      <c r="M26" s="399"/>
      <c r="N26" s="399"/>
      <c r="O26" s="399"/>
      <c r="P26" s="400"/>
      <c r="Q26" s="1"/>
      <c r="R26" s="1"/>
    </row>
    <row r="27" spans="1:18" ht="15.75" thickBot="1">
      <c r="A27" s="346"/>
      <c r="B27" s="364" t="s">
        <v>14</v>
      </c>
      <c r="C27" s="365"/>
      <c r="D27" s="366"/>
      <c r="E27" s="401" t="s">
        <v>24</v>
      </c>
      <c r="F27" s="403" t="s">
        <v>25</v>
      </c>
      <c r="G27" s="338" t="s">
        <v>44</v>
      </c>
      <c r="H27" s="321"/>
      <c r="I27" s="321"/>
      <c r="J27" s="321"/>
      <c r="K27" s="339"/>
      <c r="L27" s="340" t="s">
        <v>16</v>
      </c>
      <c r="M27" s="340" t="s">
        <v>17</v>
      </c>
      <c r="N27" s="340" t="s">
        <v>18</v>
      </c>
      <c r="O27" s="340" t="s">
        <v>19</v>
      </c>
      <c r="P27" s="340" t="s">
        <v>20</v>
      </c>
      <c r="Q27" s="1"/>
      <c r="R27" s="1"/>
    </row>
    <row r="28" spans="1:18" ht="71.25" customHeight="1" thickBot="1">
      <c r="A28" s="347"/>
      <c r="B28" s="367"/>
      <c r="C28" s="368"/>
      <c r="D28" s="369"/>
      <c r="E28" s="402"/>
      <c r="F28" s="404"/>
      <c r="G28" s="301" t="s">
        <v>45</v>
      </c>
      <c r="H28" s="301" t="s">
        <v>46</v>
      </c>
      <c r="I28" s="301" t="s">
        <v>47</v>
      </c>
      <c r="J28" s="7" t="s">
        <v>48</v>
      </c>
      <c r="K28" s="8" t="s">
        <v>27</v>
      </c>
      <c r="L28" s="341"/>
      <c r="M28" s="341"/>
      <c r="N28" s="341"/>
      <c r="O28" s="341"/>
      <c r="P28" s="341"/>
      <c r="Q28" s="1"/>
      <c r="R28" s="37"/>
    </row>
    <row r="29" spans="1:18" ht="12" customHeight="1" thickBot="1">
      <c r="A29" s="3"/>
      <c r="B29" s="342">
        <v>1</v>
      </c>
      <c r="C29" s="343"/>
      <c r="D29" s="344"/>
      <c r="E29" s="17" t="s">
        <v>22</v>
      </c>
      <c r="F29" s="301">
        <v>3</v>
      </c>
      <c r="G29" s="301">
        <v>4</v>
      </c>
      <c r="H29" s="301">
        <v>5</v>
      </c>
      <c r="I29" s="7">
        <v>6</v>
      </c>
      <c r="J29" s="7">
        <v>7</v>
      </c>
      <c r="K29" s="48">
        <v>8</v>
      </c>
      <c r="L29" s="305">
        <v>9</v>
      </c>
      <c r="M29" s="7">
        <v>10</v>
      </c>
      <c r="N29" s="305">
        <v>11</v>
      </c>
      <c r="O29" s="7">
        <v>12</v>
      </c>
      <c r="P29" s="305">
        <v>13</v>
      </c>
      <c r="Q29" s="1"/>
      <c r="R29" s="1"/>
    </row>
    <row r="30" spans="1:18" ht="18.75" customHeight="1" thickBot="1">
      <c r="A30" s="3"/>
      <c r="B30" s="345" t="s">
        <v>23</v>
      </c>
      <c r="C30" s="335"/>
      <c r="D30" s="337"/>
      <c r="E30" s="49">
        <f aca="true" t="shared" si="1" ref="E30:N30">E31+E35+E39+E45+E52+E55+E65+E68+E72+E75+E79+E81+E87+E100+E131+E134+E137+E140</f>
        <v>1700255</v>
      </c>
      <c r="F30" s="49">
        <f>F31+F35+F39+F45+F52+F55+F65+F68+F72+F75+F79+F81+F87+F100+F131+F134+F137+F140</f>
        <v>18637741</v>
      </c>
      <c r="G30" s="49">
        <f>G31+G35+G39+G45+G52+G55+G65+G68+G72+G75+G79+G81+G87+G100+G131+G134+G137+G140</f>
        <v>2153880.9499999997</v>
      </c>
      <c r="H30" s="49">
        <f>H31+H35+H39+H45+H52+H55+H65+H68+H72+H75+H79+H81+H87+H100+H131+H134+H137+H140</f>
        <v>120655.43</v>
      </c>
      <c r="I30" s="49">
        <f t="shared" si="1"/>
        <v>0</v>
      </c>
      <c r="J30" s="49">
        <f>J31+J35+J39+J45+J52+J55+J65+J68+J72+J75+J79+J81+J87+J100+J131+J134+J137+J140</f>
        <v>193211.01</v>
      </c>
      <c r="K30" s="49">
        <f t="shared" si="1"/>
        <v>2467747.389999999</v>
      </c>
      <c r="L30" s="49">
        <f>L31+L35+L39+L45+L52+L55+L65+L68+L72+L75+L79+L81+L87+L100+L131+L134+L137+L140</f>
        <v>18167291.54</v>
      </c>
      <c r="M30" s="49">
        <f t="shared" si="1"/>
        <v>-767492.3899999999</v>
      </c>
      <c r="N30" s="49">
        <f t="shared" si="1"/>
        <v>470449.4600000011</v>
      </c>
      <c r="O30" s="50">
        <v>0</v>
      </c>
      <c r="P30" s="50">
        <v>0</v>
      </c>
      <c r="Q30" s="1"/>
      <c r="R30" s="37"/>
    </row>
    <row r="31" spans="1:18" ht="21" customHeight="1" thickBot="1">
      <c r="A31" s="51" t="s">
        <v>21</v>
      </c>
      <c r="B31" s="417" t="s">
        <v>49</v>
      </c>
      <c r="C31" s="418"/>
      <c r="D31" s="419"/>
      <c r="E31" s="52">
        <f>SUM(E32:E33)</f>
        <v>814734</v>
      </c>
      <c r="F31" s="53">
        <f>F32+F33+F34</f>
        <v>9530534</v>
      </c>
      <c r="G31" s="54">
        <f>G32+G33+G34</f>
        <v>1310829.27</v>
      </c>
      <c r="H31" s="54">
        <f>H32</f>
        <v>35493.43</v>
      </c>
      <c r="I31" s="54">
        <f>I32</f>
        <v>0</v>
      </c>
      <c r="J31" s="54">
        <f>J34</f>
        <v>22040</v>
      </c>
      <c r="K31" s="53">
        <f>G31+H31+J31</f>
        <v>1368362.7</v>
      </c>
      <c r="L31" s="55">
        <f>L32+L33+L34</f>
        <v>9328703.54</v>
      </c>
      <c r="M31" s="56">
        <f>E31-K31</f>
        <v>-553628.7</v>
      </c>
      <c r="N31" s="70">
        <f>F31-L31</f>
        <v>201830.4600000009</v>
      </c>
      <c r="O31" s="58">
        <v>0</v>
      </c>
      <c r="P31" s="59">
        <v>0</v>
      </c>
      <c r="Q31" s="37"/>
      <c r="R31" s="37"/>
    </row>
    <row r="32" spans="1:18" ht="15.75" thickBot="1">
      <c r="A32" s="60" t="s">
        <v>50</v>
      </c>
      <c r="B32" s="411" t="s">
        <v>51</v>
      </c>
      <c r="C32" s="412"/>
      <c r="D32" s="413"/>
      <c r="E32" s="187">
        <v>374913</v>
      </c>
      <c r="F32" s="31">
        <f>4124040+E32</f>
        <v>4498953</v>
      </c>
      <c r="G32" s="62"/>
      <c r="H32" s="62">
        <v>35493.43</v>
      </c>
      <c r="I32" s="62"/>
      <c r="J32" s="62"/>
      <c r="K32" s="45">
        <f>H32</f>
        <v>35493.43</v>
      </c>
      <c r="L32" s="33">
        <f>4135221.57+K32</f>
        <v>4170715</v>
      </c>
      <c r="M32" s="34">
        <f>E32-K32</f>
        <v>339419.57</v>
      </c>
      <c r="N32" s="63">
        <f>F32-L32</f>
        <v>328238</v>
      </c>
      <c r="O32" s="64">
        <v>0</v>
      </c>
      <c r="P32" s="65">
        <v>0</v>
      </c>
      <c r="Q32" s="37"/>
      <c r="R32" s="37"/>
    </row>
    <row r="33" spans="1:18" ht="28.5" customHeight="1" thickBot="1">
      <c r="A33" s="60" t="s">
        <v>52</v>
      </c>
      <c r="B33" s="405" t="s">
        <v>53</v>
      </c>
      <c r="C33" s="406"/>
      <c r="D33" s="407"/>
      <c r="E33" s="187">
        <v>439821</v>
      </c>
      <c r="F33" s="31">
        <f>4591760+E33</f>
        <v>5031581</v>
      </c>
      <c r="G33" s="62">
        <v>1310829.27</v>
      </c>
      <c r="H33" s="62"/>
      <c r="I33" s="62"/>
      <c r="J33" s="62"/>
      <c r="K33" s="33">
        <f>0+G33</f>
        <v>1310829.27</v>
      </c>
      <c r="L33" s="33">
        <f>3812579.27+K33</f>
        <v>5123408.54</v>
      </c>
      <c r="M33" s="34">
        <f>E33-K33</f>
        <v>-871008.27</v>
      </c>
      <c r="N33" s="63">
        <f>F33-L33</f>
        <v>-91827.54000000004</v>
      </c>
      <c r="O33" s="64">
        <v>0</v>
      </c>
      <c r="P33" s="65">
        <v>0</v>
      </c>
      <c r="Q33" s="37"/>
      <c r="R33" s="37"/>
    </row>
    <row r="34" spans="1:18" ht="15.75" thickBot="1">
      <c r="A34" s="60" t="s">
        <v>54</v>
      </c>
      <c r="B34" s="405" t="s">
        <v>55</v>
      </c>
      <c r="C34" s="406"/>
      <c r="D34" s="407"/>
      <c r="E34" s="66"/>
      <c r="F34" s="33"/>
      <c r="G34" s="62"/>
      <c r="H34" s="62"/>
      <c r="I34" s="62"/>
      <c r="J34" s="62">
        <v>22040</v>
      </c>
      <c r="K34" s="33">
        <f>0+J34</f>
        <v>22040</v>
      </c>
      <c r="L34" s="33">
        <f>12540+K34</f>
        <v>34580</v>
      </c>
      <c r="M34" s="34">
        <f>E34-K34</f>
        <v>-22040</v>
      </c>
      <c r="N34" s="63">
        <f>F34-L34</f>
        <v>-34580</v>
      </c>
      <c r="O34" s="64">
        <v>0</v>
      </c>
      <c r="P34" s="65">
        <v>0</v>
      </c>
      <c r="Q34" s="37"/>
      <c r="R34" s="37"/>
    </row>
    <row r="35" spans="1:18" ht="30" customHeight="1" thickBot="1">
      <c r="A35" s="69" t="s">
        <v>22</v>
      </c>
      <c r="B35" s="408" t="s">
        <v>56</v>
      </c>
      <c r="C35" s="409"/>
      <c r="D35" s="410"/>
      <c r="E35" s="53">
        <f>SUM(E36:E38)</f>
        <v>164576</v>
      </c>
      <c r="F35" s="53">
        <f>F36+F37+F38</f>
        <v>1925167</v>
      </c>
      <c r="G35" s="54">
        <f>G36+G37+G38</f>
        <v>207721.98</v>
      </c>
      <c r="H35" s="54">
        <f>H36</f>
        <v>85162</v>
      </c>
      <c r="I35" s="54"/>
      <c r="J35" s="54">
        <f>J38</f>
        <v>6985.16</v>
      </c>
      <c r="K35" s="53">
        <f>G35+H35+J35</f>
        <v>299869.13999999996</v>
      </c>
      <c r="L35" s="55">
        <f>L36+L37+L38</f>
        <v>1938467.54</v>
      </c>
      <c r="M35" s="56">
        <f>E35-K35</f>
        <v>-135293.13999999996</v>
      </c>
      <c r="N35" s="70">
        <f>F35-L35</f>
        <v>-13300.540000000037</v>
      </c>
      <c r="O35" s="58">
        <v>0</v>
      </c>
      <c r="P35" s="59">
        <v>0</v>
      </c>
      <c r="Q35" s="1"/>
      <c r="R35" s="1"/>
    </row>
    <row r="36" spans="1:18" ht="15.75" thickBot="1">
      <c r="A36" s="60" t="s">
        <v>57</v>
      </c>
      <c r="B36" s="411" t="s">
        <v>51</v>
      </c>
      <c r="C36" s="412"/>
      <c r="D36" s="413"/>
      <c r="E36" s="188">
        <v>75732</v>
      </c>
      <c r="F36" s="31">
        <f>833056+E36</f>
        <v>908788</v>
      </c>
      <c r="G36" s="62"/>
      <c r="H36" s="62">
        <v>85162</v>
      </c>
      <c r="I36" s="62"/>
      <c r="J36" s="62"/>
      <c r="K36" s="45">
        <f>H36</f>
        <v>85162</v>
      </c>
      <c r="L36" s="33">
        <f>757323+K36</f>
        <v>842485</v>
      </c>
      <c r="M36" s="34">
        <f>E36-K36</f>
        <v>-9430</v>
      </c>
      <c r="N36" s="63">
        <f>F36-L36</f>
        <v>66303</v>
      </c>
      <c r="O36" s="64">
        <v>0</v>
      </c>
      <c r="P36" s="65">
        <v>0</v>
      </c>
      <c r="Q36" s="1"/>
      <c r="R36" s="71"/>
    </row>
    <row r="37" spans="1:18" ht="15.75" thickBot="1">
      <c r="A37" s="60" t="s">
        <v>58</v>
      </c>
      <c r="B37" s="405" t="s">
        <v>53</v>
      </c>
      <c r="C37" s="406"/>
      <c r="D37" s="407"/>
      <c r="E37" s="188">
        <v>88844</v>
      </c>
      <c r="F37" s="31">
        <f>927535+E37</f>
        <v>1016379</v>
      </c>
      <c r="G37" s="62">
        <v>207721.98</v>
      </c>
      <c r="H37" s="62"/>
      <c r="I37" s="62"/>
      <c r="J37" s="62"/>
      <c r="K37" s="45">
        <f>G37</f>
        <v>207721.98</v>
      </c>
      <c r="L37" s="33">
        <f>881275.4+K37</f>
        <v>1088997.3800000001</v>
      </c>
      <c r="M37" s="34">
        <f>E37-K37</f>
        <v>-118877.98000000001</v>
      </c>
      <c r="N37" s="63">
        <f>F37-L37</f>
        <v>-72618.38000000012</v>
      </c>
      <c r="O37" s="64">
        <v>0</v>
      </c>
      <c r="P37" s="65">
        <v>0</v>
      </c>
      <c r="Q37" s="1"/>
      <c r="R37" s="1"/>
    </row>
    <row r="38" spans="1:18" ht="18" customHeight="1" thickBot="1">
      <c r="A38" s="60" t="s">
        <v>59</v>
      </c>
      <c r="B38" s="405" t="s">
        <v>55</v>
      </c>
      <c r="C38" s="406"/>
      <c r="D38" s="407"/>
      <c r="E38" s="45"/>
      <c r="F38" s="31"/>
      <c r="G38" s="62"/>
      <c r="H38" s="62"/>
      <c r="I38" s="62"/>
      <c r="J38" s="62">
        <v>6985.16</v>
      </c>
      <c r="K38" s="45">
        <f>J38</f>
        <v>6985.16</v>
      </c>
      <c r="L38" s="33">
        <f>0+K38</f>
        <v>6985.16</v>
      </c>
      <c r="M38" s="34">
        <f>E38-K38</f>
        <v>-6985.16</v>
      </c>
      <c r="N38" s="63">
        <f>F38-L38</f>
        <v>-6985.16</v>
      </c>
      <c r="O38" s="64">
        <v>0</v>
      </c>
      <c r="P38" s="65">
        <v>0</v>
      </c>
      <c r="Q38" s="1"/>
      <c r="R38" s="1"/>
    </row>
    <row r="39" spans="1:18" ht="21" customHeight="1" thickBot="1">
      <c r="A39" s="69" t="s">
        <v>60</v>
      </c>
      <c r="B39" s="408" t="s">
        <v>61</v>
      </c>
      <c r="C39" s="409"/>
      <c r="D39" s="410"/>
      <c r="E39" s="53">
        <f>SUM(E42:E44)</f>
        <v>5065</v>
      </c>
      <c r="F39" s="73">
        <f>F42+F43+F44</f>
        <v>63780</v>
      </c>
      <c r="G39" s="54">
        <f>G41</f>
        <v>4813.48</v>
      </c>
      <c r="H39" s="54"/>
      <c r="I39" s="54"/>
      <c r="J39" s="54"/>
      <c r="K39" s="55">
        <f>K40+K41</f>
        <v>4813.48</v>
      </c>
      <c r="L39" s="55">
        <f>L41+L40</f>
        <v>61064.759999999995</v>
      </c>
      <c r="M39" s="56">
        <f>E39-K39</f>
        <v>251.52000000000044</v>
      </c>
      <c r="N39" s="57">
        <f>F39-L39</f>
        <v>2715.2400000000052</v>
      </c>
      <c r="O39" s="58">
        <v>0</v>
      </c>
      <c r="P39" s="59">
        <v>0</v>
      </c>
      <c r="Q39" s="1"/>
      <c r="R39" s="1"/>
    </row>
    <row r="40" spans="1:18" ht="15.75" thickBot="1">
      <c r="A40" s="60" t="s">
        <v>62</v>
      </c>
      <c r="B40" s="411" t="s">
        <v>51</v>
      </c>
      <c r="C40" s="412"/>
      <c r="D40" s="413"/>
      <c r="E40" s="33"/>
      <c r="F40" s="31"/>
      <c r="G40" s="62"/>
      <c r="H40" s="62"/>
      <c r="I40" s="62"/>
      <c r="J40" s="62"/>
      <c r="K40" s="45"/>
      <c r="L40" s="33"/>
      <c r="M40" s="67"/>
      <c r="N40" s="72"/>
      <c r="O40" s="64"/>
      <c r="P40" s="65"/>
      <c r="Q40" s="1"/>
      <c r="R40" s="1"/>
    </row>
    <row r="41" spans="1:18" ht="15.75" thickBot="1">
      <c r="A41" s="60" t="s">
        <v>63</v>
      </c>
      <c r="B41" s="405" t="s">
        <v>53</v>
      </c>
      <c r="C41" s="406"/>
      <c r="D41" s="407"/>
      <c r="E41" s="45">
        <f>E42+E43+E44</f>
        <v>5065</v>
      </c>
      <c r="F41" s="31">
        <f>58715+E41</f>
        <v>63780</v>
      </c>
      <c r="G41" s="62">
        <f>G42+G43</f>
        <v>4813.48</v>
      </c>
      <c r="H41" s="62"/>
      <c r="I41" s="62"/>
      <c r="J41" s="62"/>
      <c r="K41" s="33">
        <f>0+G41</f>
        <v>4813.48</v>
      </c>
      <c r="L41" s="33">
        <f>L42+L43+L44</f>
        <v>61064.759999999995</v>
      </c>
      <c r="M41" s="34">
        <f>E41-K41</f>
        <v>251.52000000000044</v>
      </c>
      <c r="N41" s="63">
        <f aca="true" t="shared" si="2" ref="M41:N56">F41-L41</f>
        <v>2715.2400000000052</v>
      </c>
      <c r="O41" s="64">
        <v>0</v>
      </c>
      <c r="P41" s="65">
        <v>0</v>
      </c>
      <c r="Q41" s="1"/>
      <c r="R41" s="1"/>
    </row>
    <row r="42" spans="1:18" ht="15.75" thickBot="1">
      <c r="A42" s="60" t="s">
        <v>64</v>
      </c>
      <c r="B42" s="414" t="s">
        <v>65</v>
      </c>
      <c r="C42" s="415"/>
      <c r="D42" s="416"/>
      <c r="E42" s="153">
        <v>2846</v>
      </c>
      <c r="F42" s="31">
        <f>31306+E42</f>
        <v>34152</v>
      </c>
      <c r="G42" s="62">
        <v>2594.48</v>
      </c>
      <c r="H42" s="62"/>
      <c r="I42" s="62"/>
      <c r="J42" s="62"/>
      <c r="K42" s="33">
        <f>0+G42</f>
        <v>2594.48</v>
      </c>
      <c r="L42" s="33">
        <f>29730.28+K42</f>
        <v>32324.76</v>
      </c>
      <c r="M42" s="34">
        <f t="shared" si="2"/>
        <v>251.51999999999998</v>
      </c>
      <c r="N42" s="63">
        <f t="shared" si="2"/>
        <v>1827.2400000000016</v>
      </c>
      <c r="O42" s="64">
        <v>0</v>
      </c>
      <c r="P42" s="65">
        <v>0</v>
      </c>
      <c r="Q42" s="1"/>
      <c r="R42" s="1"/>
    </row>
    <row r="43" spans="1:18" ht="15.75" thickBot="1">
      <c r="A43" s="60" t="s">
        <v>66</v>
      </c>
      <c r="B43" s="414" t="s">
        <v>67</v>
      </c>
      <c r="C43" s="415"/>
      <c r="D43" s="416"/>
      <c r="E43" s="153">
        <v>2219</v>
      </c>
      <c r="F43" s="31">
        <f>24409+E43</f>
        <v>26628</v>
      </c>
      <c r="G43" s="62">
        <v>2219</v>
      </c>
      <c r="H43" s="62"/>
      <c r="I43" s="62"/>
      <c r="J43" s="62"/>
      <c r="K43" s="33">
        <f>0+G43</f>
        <v>2219</v>
      </c>
      <c r="L43" s="33">
        <f>24409+K43</f>
        <v>26628</v>
      </c>
      <c r="M43" s="34">
        <f t="shared" si="2"/>
        <v>0</v>
      </c>
      <c r="N43" s="63">
        <f t="shared" si="2"/>
        <v>0</v>
      </c>
      <c r="O43" s="64">
        <v>0</v>
      </c>
      <c r="P43" s="65">
        <v>0</v>
      </c>
      <c r="Q43" s="1"/>
      <c r="R43" s="1"/>
    </row>
    <row r="44" spans="1:18" ht="15.75" thickBot="1">
      <c r="A44" s="60" t="s">
        <v>68</v>
      </c>
      <c r="B44" s="414" t="s">
        <v>210</v>
      </c>
      <c r="C44" s="415"/>
      <c r="D44" s="416"/>
      <c r="E44" s="153"/>
      <c r="F44" s="31">
        <f>3000+E44</f>
        <v>3000</v>
      </c>
      <c r="G44" s="74"/>
      <c r="H44" s="74"/>
      <c r="I44" s="74"/>
      <c r="J44" s="62"/>
      <c r="K44" s="33">
        <f>0+J44</f>
        <v>0</v>
      </c>
      <c r="L44" s="33">
        <f>2112+K44</f>
        <v>2112</v>
      </c>
      <c r="M44" s="34">
        <f t="shared" si="2"/>
        <v>0</v>
      </c>
      <c r="N44" s="63">
        <f t="shared" si="2"/>
        <v>888</v>
      </c>
      <c r="O44" s="64">
        <v>0</v>
      </c>
      <c r="P44" s="65">
        <v>0</v>
      </c>
      <c r="Q44" s="1"/>
      <c r="R44" s="37"/>
    </row>
    <row r="45" spans="1:18" ht="31.5" customHeight="1" thickBot="1">
      <c r="A45" s="51" t="s">
        <v>69</v>
      </c>
      <c r="B45" s="408" t="s">
        <v>70</v>
      </c>
      <c r="C45" s="409"/>
      <c r="D45" s="410"/>
      <c r="E45" s="53">
        <f>SUM(E48:E50)</f>
        <v>265000</v>
      </c>
      <c r="F45" s="73">
        <f>F46+F47+F48</f>
        <v>2307800</v>
      </c>
      <c r="G45" s="55">
        <f>G46+G47+G48</f>
        <v>306568.5</v>
      </c>
      <c r="H45" s="75"/>
      <c r="I45" s="75"/>
      <c r="J45" s="54"/>
      <c r="K45" s="55">
        <f>K46+K47+K48</f>
        <v>306568.5</v>
      </c>
      <c r="L45" s="55">
        <f>L46+L47+L48</f>
        <v>2139136.3</v>
      </c>
      <c r="M45" s="56">
        <f t="shared" si="2"/>
        <v>-41568.5</v>
      </c>
      <c r="N45" s="158">
        <f t="shared" si="2"/>
        <v>168663.7000000002</v>
      </c>
      <c r="O45" s="58">
        <v>0</v>
      </c>
      <c r="P45" s="59">
        <v>0</v>
      </c>
      <c r="Q45" s="1"/>
      <c r="R45" s="1"/>
    </row>
    <row r="46" spans="1:18" ht="15" customHeight="1" thickBot="1">
      <c r="A46" s="60" t="s">
        <v>71</v>
      </c>
      <c r="B46" s="405" t="s">
        <v>53</v>
      </c>
      <c r="C46" s="406"/>
      <c r="D46" s="407"/>
      <c r="E46" s="155">
        <f>E49+E50</f>
        <v>265000</v>
      </c>
      <c r="F46" s="31">
        <f>F49+F50+F51</f>
        <v>2307800</v>
      </c>
      <c r="G46" s="33">
        <f>G49+G50</f>
        <v>306568.5</v>
      </c>
      <c r="H46" s="74"/>
      <c r="I46" s="74"/>
      <c r="J46" s="62"/>
      <c r="K46" s="33">
        <f>0+G46</f>
        <v>306568.5</v>
      </c>
      <c r="L46" s="33">
        <f>L49+L50</f>
        <v>2139136.3</v>
      </c>
      <c r="M46" s="34">
        <f>E46-K46</f>
        <v>-41568.5</v>
      </c>
      <c r="N46" s="35">
        <f t="shared" si="2"/>
        <v>168663.7000000002</v>
      </c>
      <c r="O46" s="64">
        <v>0</v>
      </c>
      <c r="P46" s="65">
        <v>0</v>
      </c>
      <c r="Q46" s="1"/>
      <c r="R46" s="1"/>
    </row>
    <row r="47" spans="1:18" ht="15.75" thickBot="1">
      <c r="A47" s="60" t="s">
        <v>72</v>
      </c>
      <c r="B47" s="411" t="s">
        <v>51</v>
      </c>
      <c r="C47" s="412"/>
      <c r="D47" s="413"/>
      <c r="E47" s="76"/>
      <c r="F47" s="31"/>
      <c r="G47" s="33"/>
      <c r="H47" s="74"/>
      <c r="I47" s="74"/>
      <c r="J47" s="62"/>
      <c r="K47" s="33">
        <f aca="true" t="shared" si="3" ref="K47:K54">0+G47</f>
        <v>0</v>
      </c>
      <c r="L47" s="33">
        <f>0+K47</f>
        <v>0</v>
      </c>
      <c r="M47" s="34">
        <f t="shared" si="2"/>
        <v>0</v>
      </c>
      <c r="N47" s="63">
        <f t="shared" si="2"/>
        <v>0</v>
      </c>
      <c r="O47" s="64">
        <v>0</v>
      </c>
      <c r="P47" s="65">
        <v>0</v>
      </c>
      <c r="Q47" s="1"/>
      <c r="R47" s="1"/>
    </row>
    <row r="48" spans="1:18" ht="15.75" thickBot="1">
      <c r="A48" s="60" t="s">
        <v>73</v>
      </c>
      <c r="B48" s="77" t="s">
        <v>55</v>
      </c>
      <c r="C48" s="78"/>
      <c r="D48" s="78"/>
      <c r="E48" s="79"/>
      <c r="F48" s="31"/>
      <c r="G48" s="33"/>
      <c r="H48" s="74"/>
      <c r="I48" s="74"/>
      <c r="J48" s="62"/>
      <c r="K48" s="33">
        <f t="shared" si="3"/>
        <v>0</v>
      </c>
      <c r="L48" s="33">
        <f>0+K48</f>
        <v>0</v>
      </c>
      <c r="M48" s="34">
        <f t="shared" si="2"/>
        <v>0</v>
      </c>
      <c r="N48" s="63">
        <f t="shared" si="2"/>
        <v>0</v>
      </c>
      <c r="O48" s="64">
        <v>0</v>
      </c>
      <c r="P48" s="65">
        <v>0</v>
      </c>
      <c r="Q48" s="1"/>
      <c r="R48" s="80"/>
    </row>
    <row r="49" spans="1:18" ht="32.25" customHeight="1" thickBot="1">
      <c r="A49" s="60" t="s">
        <v>74</v>
      </c>
      <c r="B49" s="420" t="s">
        <v>75</v>
      </c>
      <c r="C49" s="421"/>
      <c r="D49" s="422"/>
      <c r="E49" s="156">
        <v>265000</v>
      </c>
      <c r="F49" s="31">
        <f>2005000+E49</f>
        <v>2270000</v>
      </c>
      <c r="G49" s="74">
        <v>305484.5</v>
      </c>
      <c r="H49" s="74"/>
      <c r="I49" s="74"/>
      <c r="J49" s="62"/>
      <c r="K49" s="33">
        <f>0+G49</f>
        <v>305484.5</v>
      </c>
      <c r="L49" s="33">
        <f>1823500.5+K49</f>
        <v>2128985</v>
      </c>
      <c r="M49" s="34">
        <f>E49-K49</f>
        <v>-40484.5</v>
      </c>
      <c r="N49" s="63">
        <f t="shared" si="2"/>
        <v>141015</v>
      </c>
      <c r="O49" s="64">
        <v>0</v>
      </c>
      <c r="P49" s="65">
        <v>0</v>
      </c>
      <c r="Q49" s="1"/>
      <c r="R49" s="37"/>
    </row>
    <row r="50" spans="1:18" ht="33" customHeight="1" thickBot="1">
      <c r="A50" s="60" t="s">
        <v>76</v>
      </c>
      <c r="B50" s="420" t="s">
        <v>77</v>
      </c>
      <c r="C50" s="421"/>
      <c r="D50" s="422"/>
      <c r="E50" s="156"/>
      <c r="F50" s="31">
        <f>37800+E50</f>
        <v>37800</v>
      </c>
      <c r="G50" s="74">
        <v>1084</v>
      </c>
      <c r="H50" s="74"/>
      <c r="I50" s="74"/>
      <c r="J50" s="62"/>
      <c r="K50" s="33">
        <f t="shared" si="3"/>
        <v>1084</v>
      </c>
      <c r="L50" s="33">
        <f>9067.3+K50</f>
        <v>10151.3</v>
      </c>
      <c r="M50" s="34">
        <f t="shared" si="2"/>
        <v>-1084</v>
      </c>
      <c r="N50" s="63">
        <f t="shared" si="2"/>
        <v>27648.7</v>
      </c>
      <c r="O50" s="64">
        <v>0</v>
      </c>
      <c r="P50" s="65">
        <v>0</v>
      </c>
      <c r="Q50" s="1"/>
      <c r="R50" s="1"/>
    </row>
    <row r="51" spans="1:18" ht="15.75" thickBot="1">
      <c r="A51" s="60" t="s">
        <v>78</v>
      </c>
      <c r="B51" s="420" t="s">
        <v>79</v>
      </c>
      <c r="C51" s="421"/>
      <c r="D51" s="422"/>
      <c r="E51" s="74"/>
      <c r="F51" s="31">
        <f>0+E51</f>
        <v>0</v>
      </c>
      <c r="G51" s="74"/>
      <c r="H51" s="74"/>
      <c r="I51" s="74"/>
      <c r="J51" s="62"/>
      <c r="K51" s="33">
        <f t="shared" si="3"/>
        <v>0</v>
      </c>
      <c r="L51" s="33">
        <f aca="true" t="shared" si="4" ref="L51:L58">0+K51</f>
        <v>0</v>
      </c>
      <c r="M51" s="34">
        <f t="shared" si="2"/>
        <v>0</v>
      </c>
      <c r="N51" s="63">
        <f t="shared" si="2"/>
        <v>0</v>
      </c>
      <c r="O51" s="64">
        <v>0</v>
      </c>
      <c r="P51" s="65">
        <v>0</v>
      </c>
      <c r="Q51" s="1"/>
      <c r="R51" s="1"/>
    </row>
    <row r="52" spans="1:18" ht="34.5" customHeight="1" thickBot="1">
      <c r="A52" s="69" t="s">
        <v>80</v>
      </c>
      <c r="B52" s="423" t="s">
        <v>81</v>
      </c>
      <c r="C52" s="424"/>
      <c r="D52" s="425"/>
      <c r="E52" s="55">
        <v>0</v>
      </c>
      <c r="F52" s="55">
        <v>0</v>
      </c>
      <c r="G52" s="55"/>
      <c r="H52" s="55"/>
      <c r="I52" s="55"/>
      <c r="J52" s="54"/>
      <c r="K52" s="55">
        <f t="shared" si="3"/>
        <v>0</v>
      </c>
      <c r="L52" s="55">
        <f t="shared" si="4"/>
        <v>0</v>
      </c>
      <c r="M52" s="56">
        <f t="shared" si="2"/>
        <v>0</v>
      </c>
      <c r="N52" s="57">
        <f t="shared" si="2"/>
        <v>0</v>
      </c>
      <c r="O52" s="58">
        <v>0</v>
      </c>
      <c r="P52" s="59">
        <v>0</v>
      </c>
      <c r="Q52" s="1"/>
      <c r="R52" s="1"/>
    </row>
    <row r="53" spans="1:18" ht="15.75" thickBot="1">
      <c r="A53" s="60" t="s">
        <v>82</v>
      </c>
      <c r="B53" s="405" t="s">
        <v>53</v>
      </c>
      <c r="C53" s="406"/>
      <c r="D53" s="407"/>
      <c r="E53" s="33"/>
      <c r="F53" s="33"/>
      <c r="G53" s="33"/>
      <c r="H53" s="33"/>
      <c r="I53" s="33"/>
      <c r="J53" s="62"/>
      <c r="K53" s="33">
        <f t="shared" si="3"/>
        <v>0</v>
      </c>
      <c r="L53" s="33">
        <f t="shared" si="4"/>
        <v>0</v>
      </c>
      <c r="M53" s="34">
        <f t="shared" si="2"/>
        <v>0</v>
      </c>
      <c r="N53" s="63">
        <f t="shared" si="2"/>
        <v>0</v>
      </c>
      <c r="O53" s="64">
        <v>0</v>
      </c>
      <c r="P53" s="65">
        <v>0</v>
      </c>
      <c r="Q53" s="1"/>
      <c r="R53" s="1"/>
    </row>
    <row r="54" spans="1:18" ht="15.75" thickBot="1">
      <c r="A54" s="60" t="s">
        <v>83</v>
      </c>
      <c r="B54" s="457" t="s">
        <v>55</v>
      </c>
      <c r="C54" s="458"/>
      <c r="D54" s="459"/>
      <c r="E54" s="33"/>
      <c r="F54" s="33"/>
      <c r="G54" s="33"/>
      <c r="H54" s="33"/>
      <c r="I54" s="33"/>
      <c r="J54" s="62"/>
      <c r="K54" s="33">
        <f t="shared" si="3"/>
        <v>0</v>
      </c>
      <c r="L54" s="33">
        <f t="shared" si="4"/>
        <v>0</v>
      </c>
      <c r="M54" s="34">
        <f t="shared" si="2"/>
        <v>0</v>
      </c>
      <c r="N54" s="63">
        <f t="shared" si="2"/>
        <v>0</v>
      </c>
      <c r="O54" s="64">
        <v>0</v>
      </c>
      <c r="P54" s="65">
        <v>0</v>
      </c>
      <c r="Q54" s="1"/>
      <c r="R54" s="1"/>
    </row>
    <row r="55" spans="1:18" ht="42" customHeight="1" thickBot="1">
      <c r="A55" s="69" t="s">
        <v>84</v>
      </c>
      <c r="B55" s="408" t="s">
        <v>85</v>
      </c>
      <c r="C55" s="409"/>
      <c r="D55" s="410"/>
      <c r="E55" s="53">
        <f>SUM(E60:E64)</f>
        <v>411300</v>
      </c>
      <c r="F55" s="73">
        <f>F56+F59</f>
        <v>2419200</v>
      </c>
      <c r="G55" s="55">
        <f>G56+G57+G58+G59</f>
        <v>241041.45</v>
      </c>
      <c r="H55" s="55"/>
      <c r="I55" s="55"/>
      <c r="J55" s="55">
        <f>J56+J57+J58+J59</f>
        <v>30633.62</v>
      </c>
      <c r="K55" s="55">
        <f>K56+K57+K58+K59</f>
        <v>271675.07</v>
      </c>
      <c r="L55" s="55">
        <f>L56+L57+L58+L59</f>
        <v>1982559.79</v>
      </c>
      <c r="M55" s="56">
        <f t="shared" si="2"/>
        <v>139624.93</v>
      </c>
      <c r="N55" s="70">
        <f t="shared" si="2"/>
        <v>436640.20999999996</v>
      </c>
      <c r="O55" s="58">
        <v>0</v>
      </c>
      <c r="P55" s="59">
        <v>0</v>
      </c>
      <c r="Q55" s="1"/>
      <c r="R55" s="37"/>
    </row>
    <row r="56" spans="1:18" ht="15.75" thickBot="1">
      <c r="A56" s="60" t="s">
        <v>86</v>
      </c>
      <c r="B56" s="405" t="s">
        <v>53</v>
      </c>
      <c r="C56" s="406"/>
      <c r="D56" s="407"/>
      <c r="E56" s="81">
        <f>E60+E61+E63+E64-E59</f>
        <v>401800</v>
      </c>
      <c r="F56" s="31">
        <f>1925300+E56</f>
        <v>2327100</v>
      </c>
      <c r="G56" s="33">
        <f>G63++G60+G61+G64</f>
        <v>241041.45</v>
      </c>
      <c r="H56" s="33"/>
      <c r="I56" s="33"/>
      <c r="J56" s="33"/>
      <c r="K56" s="33">
        <f>0+G56</f>
        <v>241041.45</v>
      </c>
      <c r="L56" s="33">
        <f>1641944.62+K56</f>
        <v>1882986.07</v>
      </c>
      <c r="M56" s="34">
        <f>E56-K56</f>
        <v>160758.55</v>
      </c>
      <c r="N56" s="63">
        <f t="shared" si="2"/>
        <v>444113.92999999993</v>
      </c>
      <c r="O56" s="64">
        <v>0</v>
      </c>
      <c r="P56" s="65">
        <v>0</v>
      </c>
      <c r="Q56" s="1"/>
      <c r="R56" s="37"/>
    </row>
    <row r="57" spans="1:18" ht="15.75" thickBot="1">
      <c r="A57" s="60" t="s">
        <v>87</v>
      </c>
      <c r="B57" s="411" t="s">
        <v>88</v>
      </c>
      <c r="C57" s="412"/>
      <c r="D57" s="413"/>
      <c r="E57" s="61"/>
      <c r="F57" s="31"/>
      <c r="G57" s="33"/>
      <c r="H57" s="33"/>
      <c r="I57" s="33"/>
      <c r="J57" s="33"/>
      <c r="K57" s="33">
        <f aca="true" t="shared" si="5" ref="K57:K62">0+G57</f>
        <v>0</v>
      </c>
      <c r="L57" s="33">
        <f t="shared" si="4"/>
        <v>0</v>
      </c>
      <c r="M57" s="34">
        <f aca="true" t="shared" si="6" ref="M57:N72">E57-K57</f>
        <v>0</v>
      </c>
      <c r="N57" s="63">
        <f t="shared" si="6"/>
        <v>0</v>
      </c>
      <c r="O57" s="64">
        <v>0</v>
      </c>
      <c r="P57" s="65">
        <v>0</v>
      </c>
      <c r="Q57" s="1"/>
      <c r="R57" s="37"/>
    </row>
    <row r="58" spans="1:18" ht="15.75" thickBot="1">
      <c r="A58" s="60" t="s">
        <v>89</v>
      </c>
      <c r="B58" s="435" t="s">
        <v>55</v>
      </c>
      <c r="C58" s="436"/>
      <c r="D58" s="436"/>
      <c r="E58" s="82"/>
      <c r="F58" s="31"/>
      <c r="G58" s="33"/>
      <c r="H58" s="33"/>
      <c r="I58" s="33"/>
      <c r="J58" s="33"/>
      <c r="K58" s="33">
        <f t="shared" si="5"/>
        <v>0</v>
      </c>
      <c r="L58" s="33">
        <f t="shared" si="4"/>
        <v>0</v>
      </c>
      <c r="M58" s="34">
        <f t="shared" si="6"/>
        <v>0</v>
      </c>
      <c r="N58" s="63">
        <f t="shared" si="6"/>
        <v>0</v>
      </c>
      <c r="O58" s="64">
        <v>0</v>
      </c>
      <c r="P58" s="65">
        <v>0</v>
      </c>
      <c r="Q58" s="1"/>
      <c r="R58" s="37"/>
    </row>
    <row r="59" spans="1:18" ht="15.75" thickBot="1">
      <c r="A59" s="60" t="s">
        <v>90</v>
      </c>
      <c r="B59" s="383" t="s">
        <v>40</v>
      </c>
      <c r="C59" s="384"/>
      <c r="D59" s="385"/>
      <c r="E59" s="155">
        <v>9500</v>
      </c>
      <c r="F59" s="31">
        <f>82600+E59</f>
        <v>92100</v>
      </c>
      <c r="G59" s="33"/>
      <c r="H59" s="33"/>
      <c r="I59" s="33"/>
      <c r="J59" s="33">
        <f>J63+J64+J60</f>
        <v>30633.62</v>
      </c>
      <c r="K59" s="33">
        <f>0+J59</f>
        <v>30633.62</v>
      </c>
      <c r="L59" s="33">
        <f>68940.1+K59</f>
        <v>99573.72</v>
      </c>
      <c r="M59" s="34">
        <f t="shared" si="6"/>
        <v>-21133.62</v>
      </c>
      <c r="N59" s="63">
        <f t="shared" si="6"/>
        <v>-7473.720000000001</v>
      </c>
      <c r="O59" s="64">
        <v>0</v>
      </c>
      <c r="P59" s="65">
        <v>0</v>
      </c>
      <c r="Q59" s="1"/>
      <c r="R59" s="37"/>
    </row>
    <row r="60" spans="1:18" ht="30.75" customHeight="1" thickBot="1">
      <c r="A60" s="60" t="s">
        <v>91</v>
      </c>
      <c r="B60" s="437" t="s">
        <v>92</v>
      </c>
      <c r="C60" s="438"/>
      <c r="D60" s="439"/>
      <c r="E60" s="156">
        <v>100000</v>
      </c>
      <c r="F60" s="31">
        <f>700000+E60</f>
        <v>800000</v>
      </c>
      <c r="G60" s="74">
        <v>68580.39</v>
      </c>
      <c r="H60" s="74"/>
      <c r="I60" s="74"/>
      <c r="J60" s="33">
        <v>18389.16</v>
      </c>
      <c r="K60" s="33">
        <f>J60+G60</f>
        <v>86969.55</v>
      </c>
      <c r="L60" s="33">
        <f>531383.22+K60</f>
        <v>618352.77</v>
      </c>
      <c r="M60" s="34">
        <f t="shared" si="6"/>
        <v>13030.449999999997</v>
      </c>
      <c r="N60" s="35">
        <f t="shared" si="6"/>
        <v>181647.22999999998</v>
      </c>
      <c r="O60" s="64">
        <v>0</v>
      </c>
      <c r="P60" s="65">
        <v>0</v>
      </c>
      <c r="Q60" s="1"/>
      <c r="R60" s="80"/>
    </row>
    <row r="61" spans="1:18" ht="18" customHeight="1" thickBot="1">
      <c r="A61" s="60" t="s">
        <v>93</v>
      </c>
      <c r="B61" s="426" t="s">
        <v>94</v>
      </c>
      <c r="C61" s="427"/>
      <c r="D61" s="427"/>
      <c r="E61" s="152">
        <v>300000</v>
      </c>
      <c r="F61" s="31">
        <f>1200000+E61</f>
        <v>1500000</v>
      </c>
      <c r="G61" s="74">
        <v>172461.06</v>
      </c>
      <c r="H61" s="74"/>
      <c r="I61" s="74"/>
      <c r="J61" s="33"/>
      <c r="K61" s="33">
        <f>0+G61</f>
        <v>172461.06</v>
      </c>
      <c r="L61" s="33">
        <f>1107863.68+K61</f>
        <v>1280324.74</v>
      </c>
      <c r="M61" s="34">
        <f t="shared" si="6"/>
        <v>127538.94</v>
      </c>
      <c r="N61" s="63">
        <f t="shared" si="6"/>
        <v>219675.26</v>
      </c>
      <c r="O61" s="64">
        <v>0</v>
      </c>
      <c r="P61" s="65">
        <v>0</v>
      </c>
      <c r="Q61" s="1"/>
      <c r="R61" s="37"/>
    </row>
    <row r="62" spans="1:18" ht="18.75" customHeight="1" thickBot="1">
      <c r="A62" s="60" t="s">
        <v>93</v>
      </c>
      <c r="B62" s="440" t="s">
        <v>95</v>
      </c>
      <c r="C62" s="441"/>
      <c r="D62" s="442"/>
      <c r="E62" s="152"/>
      <c r="F62" s="31"/>
      <c r="G62" s="74"/>
      <c r="H62" s="74"/>
      <c r="I62" s="74"/>
      <c r="J62" s="33"/>
      <c r="K62" s="33">
        <f t="shared" si="5"/>
        <v>0</v>
      </c>
      <c r="L62" s="33">
        <f>0+K62</f>
        <v>0</v>
      </c>
      <c r="M62" s="34">
        <f t="shared" si="6"/>
        <v>0</v>
      </c>
      <c r="N62" s="63">
        <f t="shared" si="6"/>
        <v>0</v>
      </c>
      <c r="O62" s="64">
        <v>0</v>
      </c>
      <c r="P62" s="65">
        <v>0</v>
      </c>
      <c r="Q62" s="1"/>
      <c r="R62" s="1"/>
    </row>
    <row r="63" spans="1:18" ht="15.75" thickBot="1">
      <c r="A63" s="60" t="s">
        <v>96</v>
      </c>
      <c r="B63" s="426" t="s">
        <v>97</v>
      </c>
      <c r="C63" s="427"/>
      <c r="D63" s="428"/>
      <c r="E63" s="152">
        <v>6000</v>
      </c>
      <c r="F63" s="31">
        <f>57300+E63</f>
        <v>63300</v>
      </c>
      <c r="G63" s="83"/>
      <c r="H63" s="84"/>
      <c r="I63" s="74"/>
      <c r="J63" s="74">
        <v>6540.5</v>
      </c>
      <c r="K63" s="33">
        <f>0+J63+G63</f>
        <v>6540.5</v>
      </c>
      <c r="L63" s="33">
        <f>58654.63+K63</f>
        <v>65195.13</v>
      </c>
      <c r="M63" s="34">
        <f t="shared" si="6"/>
        <v>-540.5</v>
      </c>
      <c r="N63" s="63">
        <f t="shared" si="6"/>
        <v>-1895.1299999999974</v>
      </c>
      <c r="O63" s="64">
        <v>0</v>
      </c>
      <c r="P63" s="65">
        <v>0</v>
      </c>
      <c r="Q63" s="1"/>
      <c r="R63" s="1"/>
    </row>
    <row r="64" spans="1:18" ht="27.75" customHeight="1" thickBot="1">
      <c r="A64" s="60" t="s">
        <v>98</v>
      </c>
      <c r="B64" s="426" t="s">
        <v>99</v>
      </c>
      <c r="C64" s="427"/>
      <c r="D64" s="428"/>
      <c r="E64" s="152">
        <v>5300</v>
      </c>
      <c r="F64" s="31">
        <f>50600+E64</f>
        <v>55900</v>
      </c>
      <c r="G64" s="83"/>
      <c r="H64" s="74"/>
      <c r="I64" s="74"/>
      <c r="J64" s="74">
        <v>5703.96</v>
      </c>
      <c r="K64" s="33">
        <f>0+J64+G64</f>
        <v>5703.96</v>
      </c>
      <c r="L64" s="33">
        <f>51170.23+K64</f>
        <v>56874.19</v>
      </c>
      <c r="M64" s="34">
        <f t="shared" si="6"/>
        <v>-403.96000000000004</v>
      </c>
      <c r="N64" s="63">
        <f t="shared" si="6"/>
        <v>-974.1900000000023</v>
      </c>
      <c r="O64" s="64">
        <v>0</v>
      </c>
      <c r="P64" s="65">
        <v>0</v>
      </c>
      <c r="Q64" s="1"/>
      <c r="R64" s="1"/>
    </row>
    <row r="65" spans="1:18" ht="29.25" customHeight="1" thickBot="1">
      <c r="A65" s="86" t="s">
        <v>100</v>
      </c>
      <c r="B65" s="429" t="s">
        <v>101</v>
      </c>
      <c r="C65" s="430"/>
      <c r="D65" s="431"/>
      <c r="E65" s="53">
        <f>E66</f>
        <v>0</v>
      </c>
      <c r="F65" s="73">
        <f>F66+F67</f>
        <v>342500</v>
      </c>
      <c r="G65" s="75">
        <f>G66+G67</f>
        <v>0</v>
      </c>
      <c r="H65" s="55"/>
      <c r="I65" s="55">
        <f>I67</f>
        <v>0</v>
      </c>
      <c r="J65" s="55">
        <f>J66+J67</f>
        <v>0</v>
      </c>
      <c r="K65" s="55">
        <f>K66+K67</f>
        <v>0</v>
      </c>
      <c r="L65" s="55">
        <f>L66+L67</f>
        <v>60074</v>
      </c>
      <c r="M65" s="56">
        <f t="shared" si="6"/>
        <v>0</v>
      </c>
      <c r="N65" s="70">
        <f t="shared" si="6"/>
        <v>282426</v>
      </c>
      <c r="O65" s="58">
        <v>0</v>
      </c>
      <c r="P65" s="59">
        <v>0</v>
      </c>
      <c r="Q65" s="1"/>
      <c r="R65" s="1"/>
    </row>
    <row r="66" spans="1:18" ht="15.75" thickBot="1">
      <c r="A66" s="60" t="s">
        <v>102</v>
      </c>
      <c r="B66" s="405" t="s">
        <v>53</v>
      </c>
      <c r="C66" s="406"/>
      <c r="D66" s="407"/>
      <c r="E66" s="45"/>
      <c r="F66" s="31">
        <f>342500+E66</f>
        <v>342500</v>
      </c>
      <c r="G66" s="74"/>
      <c r="H66" s="33"/>
      <c r="I66" s="33"/>
      <c r="J66" s="33"/>
      <c r="K66" s="33">
        <f>0+G66</f>
        <v>0</v>
      </c>
      <c r="L66" s="33">
        <f>60074+K66</f>
        <v>60074</v>
      </c>
      <c r="M66" s="34">
        <f t="shared" si="6"/>
        <v>0</v>
      </c>
      <c r="N66" s="35">
        <f t="shared" si="6"/>
        <v>282426</v>
      </c>
      <c r="O66" s="64">
        <v>0</v>
      </c>
      <c r="P66" s="65">
        <v>0</v>
      </c>
      <c r="Q66" s="1"/>
      <c r="R66" s="1"/>
    </row>
    <row r="67" spans="1:18" ht="15.75" thickBot="1">
      <c r="A67" s="60" t="s">
        <v>103</v>
      </c>
      <c r="B67" s="435" t="s">
        <v>104</v>
      </c>
      <c r="C67" s="436"/>
      <c r="D67" s="490"/>
      <c r="E67" s="45"/>
      <c r="F67" s="31"/>
      <c r="G67" s="74"/>
      <c r="H67" s="33"/>
      <c r="I67" s="33"/>
      <c r="J67" s="33"/>
      <c r="K67" s="33">
        <f>0+I67</f>
        <v>0</v>
      </c>
      <c r="L67" s="33">
        <f>0+K67</f>
        <v>0</v>
      </c>
      <c r="M67" s="34">
        <f t="shared" si="6"/>
        <v>0</v>
      </c>
      <c r="N67" s="35">
        <f t="shared" si="6"/>
        <v>0</v>
      </c>
      <c r="O67" s="64">
        <v>0</v>
      </c>
      <c r="P67" s="65">
        <v>0</v>
      </c>
      <c r="Q67" s="1"/>
      <c r="R67" s="1"/>
    </row>
    <row r="68" spans="1:18" ht="33.75" customHeight="1" thickBot="1">
      <c r="A68" s="69" t="s">
        <v>105</v>
      </c>
      <c r="B68" s="423" t="s">
        <v>240</v>
      </c>
      <c r="C68" s="424"/>
      <c r="D68" s="425"/>
      <c r="E68" s="53">
        <f>E69</f>
        <v>0</v>
      </c>
      <c r="F68" s="73">
        <f>F69+F70+F71</f>
        <v>665000</v>
      </c>
      <c r="G68" s="75">
        <f>G69+G70</f>
        <v>7230</v>
      </c>
      <c r="H68" s="55"/>
      <c r="I68" s="55"/>
      <c r="J68" s="55"/>
      <c r="K68" s="55">
        <f>K69+K70+K71</f>
        <v>7230</v>
      </c>
      <c r="L68" s="55">
        <f>L69+L70+L71</f>
        <v>70958</v>
      </c>
      <c r="M68" s="56">
        <f t="shared" si="6"/>
        <v>-7230</v>
      </c>
      <c r="N68" s="70">
        <f t="shared" si="6"/>
        <v>594042</v>
      </c>
      <c r="O68" s="58">
        <v>0</v>
      </c>
      <c r="P68" s="59">
        <v>0</v>
      </c>
      <c r="Q68" s="1"/>
      <c r="R68" s="37"/>
    </row>
    <row r="69" spans="1:18" ht="15.75" thickBot="1">
      <c r="A69" s="60" t="s">
        <v>107</v>
      </c>
      <c r="B69" s="446" t="s">
        <v>53</v>
      </c>
      <c r="C69" s="447"/>
      <c r="D69" s="448"/>
      <c r="E69" s="61"/>
      <c r="F69" s="31">
        <f>665000+E69</f>
        <v>665000</v>
      </c>
      <c r="G69" s="74">
        <v>7230</v>
      </c>
      <c r="H69" s="33"/>
      <c r="I69" s="33"/>
      <c r="J69" s="33"/>
      <c r="K69" s="33">
        <f>G69</f>
        <v>7230</v>
      </c>
      <c r="L69" s="33">
        <f>63728+K69</f>
        <v>70958</v>
      </c>
      <c r="M69" s="34">
        <f>E69-K69</f>
        <v>-7230</v>
      </c>
      <c r="N69" s="35">
        <f t="shared" si="6"/>
        <v>594042</v>
      </c>
      <c r="O69" s="64">
        <v>0</v>
      </c>
      <c r="P69" s="65">
        <v>0</v>
      </c>
      <c r="Q69" s="1"/>
      <c r="R69" s="37"/>
    </row>
    <row r="70" spans="1:18" ht="15.75" thickBot="1">
      <c r="A70" s="60" t="s">
        <v>108</v>
      </c>
      <c r="B70" s="435" t="s">
        <v>104</v>
      </c>
      <c r="C70" s="436"/>
      <c r="D70" s="490"/>
      <c r="E70" s="61"/>
      <c r="F70" s="31"/>
      <c r="G70" s="74"/>
      <c r="H70" s="33"/>
      <c r="I70" s="33"/>
      <c r="J70" s="33"/>
      <c r="K70" s="33">
        <f>G70</f>
        <v>0</v>
      </c>
      <c r="L70" s="33">
        <f>0+K70</f>
        <v>0</v>
      </c>
      <c r="M70" s="34">
        <f t="shared" si="6"/>
        <v>0</v>
      </c>
      <c r="N70" s="35">
        <f t="shared" si="6"/>
        <v>0</v>
      </c>
      <c r="O70" s="64">
        <v>0</v>
      </c>
      <c r="P70" s="65">
        <v>0</v>
      </c>
      <c r="Q70" s="1"/>
      <c r="R70" s="37"/>
    </row>
    <row r="71" spans="1:18" ht="15.75" thickBot="1">
      <c r="A71" s="60" t="s">
        <v>109</v>
      </c>
      <c r="B71" s="446" t="s">
        <v>55</v>
      </c>
      <c r="C71" s="447"/>
      <c r="D71" s="448"/>
      <c r="E71" s="81"/>
      <c r="F71" s="31"/>
      <c r="G71" s="74"/>
      <c r="H71" s="33"/>
      <c r="I71" s="33"/>
      <c r="J71" s="33"/>
      <c r="K71" s="33">
        <f>0+J71</f>
        <v>0</v>
      </c>
      <c r="L71" s="33">
        <f>0+K71</f>
        <v>0</v>
      </c>
      <c r="M71" s="34">
        <f t="shared" si="6"/>
        <v>0</v>
      </c>
      <c r="N71" s="35">
        <f t="shared" si="6"/>
        <v>0</v>
      </c>
      <c r="O71" s="64">
        <v>0</v>
      </c>
      <c r="P71" s="65">
        <v>0</v>
      </c>
      <c r="Q71" s="1"/>
      <c r="R71" s="37"/>
    </row>
    <row r="72" spans="1:18" ht="21.75" customHeight="1" thickBot="1">
      <c r="A72" s="87" t="s">
        <v>110</v>
      </c>
      <c r="B72" s="443" t="s">
        <v>111</v>
      </c>
      <c r="C72" s="444"/>
      <c r="D72" s="445"/>
      <c r="E72" s="53">
        <f>E73+E74</f>
        <v>3000</v>
      </c>
      <c r="F72" s="73">
        <f>F73</f>
        <v>30000</v>
      </c>
      <c r="G72" s="75">
        <f>G73+G74</f>
        <v>560</v>
      </c>
      <c r="H72" s="55"/>
      <c r="I72" s="55"/>
      <c r="J72" s="55"/>
      <c r="K72" s="55">
        <f>G72</f>
        <v>560</v>
      </c>
      <c r="L72" s="55">
        <f>L73+L74</f>
        <v>38141</v>
      </c>
      <c r="M72" s="56">
        <f t="shared" si="6"/>
        <v>2440</v>
      </c>
      <c r="N72" s="70">
        <f t="shared" si="6"/>
        <v>-8141</v>
      </c>
      <c r="O72" s="58">
        <v>0</v>
      </c>
      <c r="P72" s="59">
        <v>0</v>
      </c>
      <c r="Q72" s="1"/>
      <c r="R72" s="1"/>
    </row>
    <row r="73" spans="1:18" ht="15.75" thickBot="1">
      <c r="A73" s="60" t="s">
        <v>107</v>
      </c>
      <c r="B73" s="405" t="s">
        <v>53</v>
      </c>
      <c r="C73" s="406"/>
      <c r="D73" s="407"/>
      <c r="E73" s="61">
        <v>3000</v>
      </c>
      <c r="F73" s="31">
        <f>27000+E73</f>
        <v>30000</v>
      </c>
      <c r="G73" s="74">
        <v>560</v>
      </c>
      <c r="H73" s="33"/>
      <c r="I73" s="33"/>
      <c r="J73" s="33"/>
      <c r="K73" s="33">
        <f>G73</f>
        <v>560</v>
      </c>
      <c r="L73" s="33">
        <f>37581+K73</f>
        <v>38141</v>
      </c>
      <c r="M73" s="34">
        <f aca="true" t="shared" si="7" ref="M73:N83">E73-K73</f>
        <v>2440</v>
      </c>
      <c r="N73" s="35">
        <f t="shared" si="7"/>
        <v>-8141</v>
      </c>
      <c r="O73" s="64">
        <v>0</v>
      </c>
      <c r="P73" s="65">
        <v>0</v>
      </c>
      <c r="Q73" s="1"/>
      <c r="R73" s="1"/>
    </row>
    <row r="74" spans="1:18" ht="15.75" thickBot="1">
      <c r="A74" s="60" t="s">
        <v>109</v>
      </c>
      <c r="B74" s="405" t="s">
        <v>55</v>
      </c>
      <c r="C74" s="406"/>
      <c r="D74" s="407"/>
      <c r="E74" s="81"/>
      <c r="F74" s="31"/>
      <c r="G74" s="74"/>
      <c r="H74" s="33"/>
      <c r="I74" s="33"/>
      <c r="J74" s="33"/>
      <c r="K74" s="33">
        <f>0+J74</f>
        <v>0</v>
      </c>
      <c r="L74" s="33">
        <f>0+K74</f>
        <v>0</v>
      </c>
      <c r="M74" s="34">
        <f t="shared" si="7"/>
        <v>0</v>
      </c>
      <c r="N74" s="35">
        <f t="shared" si="7"/>
        <v>0</v>
      </c>
      <c r="O74" s="64">
        <v>0</v>
      </c>
      <c r="P74" s="65">
        <v>0</v>
      </c>
      <c r="Q74" s="1"/>
      <c r="R74" s="1"/>
    </row>
    <row r="75" spans="1:18" ht="37.5" customHeight="1" thickBot="1">
      <c r="A75" s="87" t="s">
        <v>112</v>
      </c>
      <c r="B75" s="443" t="s">
        <v>113</v>
      </c>
      <c r="C75" s="444"/>
      <c r="D75" s="445"/>
      <c r="E75" s="53">
        <f>E76</f>
        <v>5000</v>
      </c>
      <c r="F75" s="73">
        <f>F76+F77</f>
        <v>237000</v>
      </c>
      <c r="G75" s="75">
        <f>G76+G77+G78</f>
        <v>3853</v>
      </c>
      <c r="H75" s="55"/>
      <c r="I75" s="55">
        <f>I76+I77</f>
        <v>0</v>
      </c>
      <c r="J75" s="55"/>
      <c r="K75" s="55">
        <f>K76+K77+K78</f>
        <v>3853</v>
      </c>
      <c r="L75" s="55">
        <f>L76+L77+L78</f>
        <v>135104.49</v>
      </c>
      <c r="M75" s="56">
        <f t="shared" si="7"/>
        <v>1147</v>
      </c>
      <c r="N75" s="70">
        <f t="shared" si="7"/>
        <v>101895.51000000001</v>
      </c>
      <c r="O75" s="58">
        <v>0</v>
      </c>
      <c r="P75" s="59">
        <v>0</v>
      </c>
      <c r="Q75" s="1"/>
      <c r="R75" s="1"/>
    </row>
    <row r="76" spans="1:18" ht="15.75" thickBot="1">
      <c r="A76" s="60" t="s">
        <v>114</v>
      </c>
      <c r="B76" s="405" t="s">
        <v>53</v>
      </c>
      <c r="C76" s="406"/>
      <c r="D76" s="407"/>
      <c r="E76" s="61">
        <v>5000</v>
      </c>
      <c r="F76" s="31">
        <f>232000+E76</f>
        <v>237000</v>
      </c>
      <c r="G76" s="74">
        <v>3853</v>
      </c>
      <c r="H76" s="33"/>
      <c r="I76" s="33"/>
      <c r="J76" s="33"/>
      <c r="K76" s="33">
        <f>G76</f>
        <v>3853</v>
      </c>
      <c r="L76" s="33">
        <f>131251.49+K76</f>
        <v>135104.49</v>
      </c>
      <c r="M76" s="34">
        <f>E76-K76</f>
        <v>1147</v>
      </c>
      <c r="N76" s="35">
        <f t="shared" si="7"/>
        <v>101895.51000000001</v>
      </c>
      <c r="O76" s="64">
        <v>0</v>
      </c>
      <c r="P76" s="65">
        <v>0</v>
      </c>
      <c r="Q76" s="1"/>
      <c r="R76" s="1"/>
    </row>
    <row r="77" spans="1:18" ht="15.75" thickBot="1">
      <c r="A77" s="60" t="s">
        <v>115</v>
      </c>
      <c r="B77" s="435" t="s">
        <v>104</v>
      </c>
      <c r="C77" s="436"/>
      <c r="D77" s="490"/>
      <c r="E77" s="81"/>
      <c r="F77" s="31"/>
      <c r="G77" s="74"/>
      <c r="H77" s="33"/>
      <c r="I77" s="33"/>
      <c r="J77" s="33"/>
      <c r="K77" s="33">
        <f>I77</f>
        <v>0</v>
      </c>
      <c r="L77" s="33">
        <f>0+K77</f>
        <v>0</v>
      </c>
      <c r="M77" s="34">
        <f t="shared" si="7"/>
        <v>0</v>
      </c>
      <c r="N77" s="35">
        <f t="shared" si="7"/>
        <v>0</v>
      </c>
      <c r="O77" s="64">
        <v>0</v>
      </c>
      <c r="P77" s="65">
        <v>0</v>
      </c>
      <c r="Q77" s="1"/>
      <c r="R77" s="1"/>
    </row>
    <row r="78" spans="1:18" ht="15.75" thickBot="1">
      <c r="A78" s="60" t="s">
        <v>116</v>
      </c>
      <c r="B78" s="405" t="s">
        <v>55</v>
      </c>
      <c r="C78" s="406"/>
      <c r="D78" s="407"/>
      <c r="E78" s="61"/>
      <c r="F78" s="31"/>
      <c r="G78" s="74"/>
      <c r="H78" s="33"/>
      <c r="I78" s="33"/>
      <c r="J78" s="33"/>
      <c r="K78" s="33">
        <f>0+J78</f>
        <v>0</v>
      </c>
      <c r="L78" s="33">
        <f>0+K78</f>
        <v>0</v>
      </c>
      <c r="M78" s="34">
        <f t="shared" si="7"/>
        <v>0</v>
      </c>
      <c r="N78" s="35">
        <f t="shared" si="7"/>
        <v>0</v>
      </c>
      <c r="O78" s="64">
        <v>0</v>
      </c>
      <c r="P78" s="65">
        <v>0</v>
      </c>
      <c r="Q78" s="1"/>
      <c r="R78" s="1"/>
    </row>
    <row r="79" spans="1:18" ht="48" customHeight="1" thickBot="1">
      <c r="A79" s="69" t="s">
        <v>117</v>
      </c>
      <c r="B79" s="408" t="s">
        <v>118</v>
      </c>
      <c r="C79" s="409"/>
      <c r="D79" s="410"/>
      <c r="E79" s="53">
        <f>E80</f>
        <v>0</v>
      </c>
      <c r="F79" s="73">
        <f>F80</f>
        <v>3500</v>
      </c>
      <c r="G79" s="75">
        <f>G80</f>
        <v>0</v>
      </c>
      <c r="H79" s="55"/>
      <c r="I79" s="55"/>
      <c r="J79" s="55"/>
      <c r="K79" s="55">
        <f>0+J79+G79</f>
        <v>0</v>
      </c>
      <c r="L79" s="55">
        <f>L80</f>
        <v>3458</v>
      </c>
      <c r="M79" s="56">
        <f t="shared" si="7"/>
        <v>0</v>
      </c>
      <c r="N79" s="70">
        <f t="shared" si="7"/>
        <v>42</v>
      </c>
      <c r="O79" s="58">
        <v>0</v>
      </c>
      <c r="P79" s="59">
        <v>0</v>
      </c>
      <c r="Q79" s="1"/>
      <c r="R79" s="1"/>
    </row>
    <row r="80" spans="1:18" ht="15.75" thickBot="1">
      <c r="A80" s="60" t="s">
        <v>119</v>
      </c>
      <c r="B80" s="405" t="s">
        <v>53</v>
      </c>
      <c r="C80" s="406"/>
      <c r="D80" s="407"/>
      <c r="E80" s="81"/>
      <c r="F80" s="31">
        <f>3500+E80</f>
        <v>3500</v>
      </c>
      <c r="G80" s="74"/>
      <c r="H80" s="33"/>
      <c r="I80" s="33"/>
      <c r="J80" s="33"/>
      <c r="K80" s="33">
        <f>0+J80+G80</f>
        <v>0</v>
      </c>
      <c r="L80" s="33">
        <f>3458+K80</f>
        <v>3458</v>
      </c>
      <c r="M80" s="34">
        <f>E80-K80</f>
        <v>0</v>
      </c>
      <c r="N80" s="35">
        <f t="shared" si="7"/>
        <v>42</v>
      </c>
      <c r="O80" s="64">
        <v>0</v>
      </c>
      <c r="P80" s="65">
        <v>0</v>
      </c>
      <c r="Q80" s="1"/>
      <c r="R80" s="1"/>
    </row>
    <row r="81" spans="1:18" ht="22.5" customHeight="1" thickBot="1">
      <c r="A81" s="69" t="s">
        <v>120</v>
      </c>
      <c r="B81" s="408" t="s">
        <v>121</v>
      </c>
      <c r="C81" s="409"/>
      <c r="D81" s="410"/>
      <c r="E81" s="53">
        <f>E82</f>
        <v>0</v>
      </c>
      <c r="F81" s="73">
        <f>F82</f>
        <v>37000</v>
      </c>
      <c r="G81" s="75">
        <f>G82</f>
        <v>0</v>
      </c>
      <c r="H81" s="55"/>
      <c r="I81" s="55"/>
      <c r="J81" s="55"/>
      <c r="K81" s="55">
        <f>0+J81+G81</f>
        <v>0</v>
      </c>
      <c r="L81" s="55">
        <f>L82+L83</f>
        <v>29888.28</v>
      </c>
      <c r="M81" s="56">
        <f t="shared" si="7"/>
        <v>0</v>
      </c>
      <c r="N81" s="70">
        <f t="shared" si="7"/>
        <v>7111.720000000001</v>
      </c>
      <c r="O81" s="58">
        <v>0</v>
      </c>
      <c r="P81" s="59">
        <v>0</v>
      </c>
      <c r="Q81" s="1"/>
      <c r="R81" s="1"/>
    </row>
    <row r="82" spans="1:18" ht="15.75" thickBot="1">
      <c r="A82" s="60" t="s">
        <v>122</v>
      </c>
      <c r="B82" s="411" t="s">
        <v>53</v>
      </c>
      <c r="C82" s="412"/>
      <c r="D82" s="413"/>
      <c r="E82" s="81"/>
      <c r="F82" s="31">
        <f>37000+E82</f>
        <v>37000</v>
      </c>
      <c r="G82" s="89"/>
      <c r="H82" s="90"/>
      <c r="I82" s="91"/>
      <c r="J82" s="90"/>
      <c r="K82" s="33">
        <f>0+J82+G82</f>
        <v>0</v>
      </c>
      <c r="L82" s="33">
        <f>29888.28+K82</f>
        <v>29888.28</v>
      </c>
      <c r="M82" s="34">
        <f t="shared" si="7"/>
        <v>0</v>
      </c>
      <c r="N82" s="35">
        <f t="shared" si="7"/>
        <v>7111.720000000001</v>
      </c>
      <c r="O82" s="64">
        <v>0</v>
      </c>
      <c r="P82" s="65">
        <v>0</v>
      </c>
      <c r="Q82" s="1"/>
      <c r="R82" s="1"/>
    </row>
    <row r="83" spans="1:18" ht="15.75" thickBot="1">
      <c r="A83" s="60" t="s">
        <v>123</v>
      </c>
      <c r="B83" s="435" t="s">
        <v>55</v>
      </c>
      <c r="C83" s="436"/>
      <c r="D83" s="490"/>
      <c r="E83" s="81"/>
      <c r="F83" s="33"/>
      <c r="G83" s="74"/>
      <c r="H83" s="92"/>
      <c r="I83" s="33"/>
      <c r="J83" s="92"/>
      <c r="K83" s="33">
        <f>0+J83</f>
        <v>0</v>
      </c>
      <c r="L83" s="33">
        <v>0</v>
      </c>
      <c r="M83" s="34">
        <f>E83-K83</f>
        <v>0</v>
      </c>
      <c r="N83" s="35">
        <f t="shared" si="7"/>
        <v>0</v>
      </c>
      <c r="O83" s="64">
        <v>0</v>
      </c>
      <c r="P83" s="65">
        <v>0</v>
      </c>
      <c r="Q83" s="1"/>
      <c r="R83" s="1"/>
    </row>
    <row r="84" spans="1:18" ht="15.75" thickBot="1">
      <c r="A84" s="449"/>
      <c r="B84" s="364" t="s">
        <v>14</v>
      </c>
      <c r="C84" s="365"/>
      <c r="D84" s="366"/>
      <c r="E84" s="401" t="s">
        <v>24</v>
      </c>
      <c r="F84" s="403" t="s">
        <v>25</v>
      </c>
      <c r="G84" s="338" t="s">
        <v>44</v>
      </c>
      <c r="H84" s="321"/>
      <c r="I84" s="321"/>
      <c r="J84" s="321"/>
      <c r="K84" s="339"/>
      <c r="L84" s="340" t="s">
        <v>16</v>
      </c>
      <c r="M84" s="340" t="s">
        <v>17</v>
      </c>
      <c r="N84" s="340" t="s">
        <v>18</v>
      </c>
      <c r="O84" s="340" t="s">
        <v>19</v>
      </c>
      <c r="P84" s="340" t="s">
        <v>20</v>
      </c>
      <c r="Q84" s="1"/>
      <c r="R84" s="1"/>
    </row>
    <row r="85" spans="1:18" ht="69.75" customHeight="1" thickBot="1">
      <c r="A85" s="450"/>
      <c r="B85" s="367"/>
      <c r="C85" s="368"/>
      <c r="D85" s="369"/>
      <c r="E85" s="402"/>
      <c r="F85" s="404"/>
      <c r="G85" s="301" t="s">
        <v>45</v>
      </c>
      <c r="H85" s="301" t="s">
        <v>46</v>
      </c>
      <c r="I85" s="313" t="s">
        <v>250</v>
      </c>
      <c r="J85" s="7" t="s">
        <v>124</v>
      </c>
      <c r="K85" s="8" t="s">
        <v>27</v>
      </c>
      <c r="L85" s="341"/>
      <c r="M85" s="341"/>
      <c r="N85" s="341"/>
      <c r="O85" s="341"/>
      <c r="P85" s="341"/>
      <c r="Q85" s="1"/>
      <c r="R85" s="298"/>
    </row>
    <row r="86" spans="1:18" ht="15.75" thickBot="1">
      <c r="A86" s="60"/>
      <c r="B86" s="342">
        <v>1</v>
      </c>
      <c r="C86" s="343"/>
      <c r="D86" s="344"/>
      <c r="E86" s="17" t="s">
        <v>22</v>
      </c>
      <c r="F86" s="301">
        <v>3</v>
      </c>
      <c r="G86" s="301">
        <v>4</v>
      </c>
      <c r="H86" s="301">
        <v>5</v>
      </c>
      <c r="I86" s="7">
        <v>6</v>
      </c>
      <c r="J86" s="7">
        <v>7</v>
      </c>
      <c r="K86" s="48">
        <v>8</v>
      </c>
      <c r="L86" s="305">
        <v>9</v>
      </c>
      <c r="M86" s="7">
        <v>10</v>
      </c>
      <c r="N86" s="305">
        <v>11</v>
      </c>
      <c r="O86" s="7">
        <v>12</v>
      </c>
      <c r="P86" s="305">
        <v>13</v>
      </c>
      <c r="Q86" s="1"/>
      <c r="R86" s="1"/>
    </row>
    <row r="87" spans="1:18" ht="46.5" customHeight="1" thickBot="1">
      <c r="A87" s="51" t="s">
        <v>125</v>
      </c>
      <c r="B87" s="408" t="s">
        <v>126</v>
      </c>
      <c r="C87" s="409"/>
      <c r="D87" s="410"/>
      <c r="E87" s="53">
        <f>E88</f>
        <v>29380</v>
      </c>
      <c r="F87" s="73">
        <f>F88+F89+F90+F91</f>
        <v>362560</v>
      </c>
      <c r="G87" s="53">
        <f>G88+G89+G90+G91</f>
        <v>36471.259999999995</v>
      </c>
      <c r="H87" s="55"/>
      <c r="I87" s="55">
        <f>I88+I89+I90</f>
        <v>0</v>
      </c>
      <c r="J87" s="55">
        <f>J91</f>
        <v>38.1</v>
      </c>
      <c r="K87" s="93">
        <f>K88+K89+K90+K91</f>
        <v>36509.35999999999</v>
      </c>
      <c r="L87" s="55">
        <f>L88+L89+L90+L91</f>
        <v>336112.32999999996</v>
      </c>
      <c r="M87" s="56">
        <f aca="true" t="shared" si="8" ref="M87:N102">E87-K87</f>
        <v>-7129.359999999993</v>
      </c>
      <c r="N87" s="70">
        <f t="shared" si="8"/>
        <v>26447.670000000042</v>
      </c>
      <c r="O87" s="58">
        <v>0</v>
      </c>
      <c r="P87" s="59">
        <v>0</v>
      </c>
      <c r="Q87" s="37"/>
      <c r="R87" s="1"/>
    </row>
    <row r="88" spans="1:18" ht="15.75" thickBot="1">
      <c r="A88" s="60" t="s">
        <v>127</v>
      </c>
      <c r="B88" s="405" t="s">
        <v>53</v>
      </c>
      <c r="C88" s="406"/>
      <c r="D88" s="407"/>
      <c r="E88" s="61">
        <f>E92+E93+E95+E96+E97+E99+E98+E94</f>
        <v>29380</v>
      </c>
      <c r="F88" s="31">
        <f>333180+E88</f>
        <v>362560</v>
      </c>
      <c r="G88" s="45">
        <f>G93+G95+G96+G97+G92+G99+G94+G98</f>
        <v>36471.259999999995</v>
      </c>
      <c r="H88" s="33"/>
      <c r="I88" s="33"/>
      <c r="J88" s="33"/>
      <c r="K88" s="94">
        <f>G88</f>
        <v>36471.259999999995</v>
      </c>
      <c r="L88" s="33">
        <f>299559.47+K88</f>
        <v>336030.73</v>
      </c>
      <c r="M88" s="34">
        <f t="shared" si="8"/>
        <v>-7091.259999999995</v>
      </c>
      <c r="N88" s="35">
        <f t="shared" si="8"/>
        <v>26529.27000000002</v>
      </c>
      <c r="O88" s="64">
        <v>0</v>
      </c>
      <c r="P88" s="65">
        <v>0</v>
      </c>
      <c r="Q88" s="37"/>
      <c r="R88" s="1"/>
    </row>
    <row r="89" spans="1:18" ht="15.75" thickBot="1">
      <c r="A89" s="60" t="s">
        <v>128</v>
      </c>
      <c r="B89" s="457" t="s">
        <v>51</v>
      </c>
      <c r="C89" s="458"/>
      <c r="D89" s="459"/>
      <c r="E89" s="61"/>
      <c r="F89" s="31"/>
      <c r="G89" s="45"/>
      <c r="H89" s="33"/>
      <c r="I89" s="33"/>
      <c r="J89" s="33"/>
      <c r="K89" s="94">
        <f aca="true" t="shared" si="9" ref="K89:K98">G89</f>
        <v>0</v>
      </c>
      <c r="L89" s="33"/>
      <c r="M89" s="34">
        <f t="shared" si="8"/>
        <v>0</v>
      </c>
      <c r="N89" s="35">
        <f t="shared" si="8"/>
        <v>0</v>
      </c>
      <c r="O89" s="64">
        <v>0</v>
      </c>
      <c r="P89" s="65">
        <v>0</v>
      </c>
      <c r="Q89" s="37"/>
      <c r="R89" s="1"/>
    </row>
    <row r="90" spans="1:18" ht="15.75" thickBot="1">
      <c r="A90" s="60" t="s">
        <v>129</v>
      </c>
      <c r="B90" s="405" t="s">
        <v>104</v>
      </c>
      <c r="C90" s="406"/>
      <c r="D90" s="407"/>
      <c r="E90" s="61"/>
      <c r="F90" s="31"/>
      <c r="G90" s="45"/>
      <c r="H90" s="33"/>
      <c r="I90" s="33">
        <f>I96</f>
        <v>0</v>
      </c>
      <c r="J90" s="33"/>
      <c r="K90" s="94">
        <f>I90</f>
        <v>0</v>
      </c>
      <c r="L90" s="33">
        <f>0+K90</f>
        <v>0</v>
      </c>
      <c r="M90" s="34">
        <f t="shared" si="8"/>
        <v>0</v>
      </c>
      <c r="N90" s="35">
        <f t="shared" si="8"/>
        <v>0</v>
      </c>
      <c r="O90" s="64">
        <v>0</v>
      </c>
      <c r="P90" s="65">
        <v>0</v>
      </c>
      <c r="Q90" s="37"/>
      <c r="R90" s="1"/>
    </row>
    <row r="91" spans="1:18" ht="15.75" thickBot="1">
      <c r="A91" s="60" t="s">
        <v>130</v>
      </c>
      <c r="B91" s="405" t="s">
        <v>55</v>
      </c>
      <c r="C91" s="406"/>
      <c r="D91" s="407"/>
      <c r="E91" s="61"/>
      <c r="F91" s="31"/>
      <c r="G91" s="45"/>
      <c r="H91" s="33"/>
      <c r="I91" s="33"/>
      <c r="J91" s="33">
        <f>J96</f>
        <v>38.1</v>
      </c>
      <c r="K91" s="94">
        <f>J91</f>
        <v>38.1</v>
      </c>
      <c r="L91" s="33">
        <f>43.5+K91</f>
        <v>81.6</v>
      </c>
      <c r="M91" s="34">
        <f t="shared" si="8"/>
        <v>-38.1</v>
      </c>
      <c r="N91" s="35">
        <f t="shared" si="8"/>
        <v>-81.6</v>
      </c>
      <c r="O91" s="64">
        <v>0</v>
      </c>
      <c r="P91" s="65">
        <v>0</v>
      </c>
      <c r="Q91" s="37"/>
      <c r="R91" s="80"/>
    </row>
    <row r="92" spans="1:18" ht="19.5" customHeight="1" thickBot="1">
      <c r="A92" s="60" t="s">
        <v>131</v>
      </c>
      <c r="B92" s="420" t="s">
        <v>132</v>
      </c>
      <c r="C92" s="421"/>
      <c r="D92" s="422"/>
      <c r="E92" s="152">
        <v>3150</v>
      </c>
      <c r="F92" s="31">
        <f>28350+E92</f>
        <v>31500</v>
      </c>
      <c r="G92" s="45">
        <v>3000</v>
      </c>
      <c r="H92" s="74"/>
      <c r="I92" s="74"/>
      <c r="J92" s="74"/>
      <c r="K92" s="94">
        <f t="shared" si="9"/>
        <v>3000</v>
      </c>
      <c r="L92" s="33">
        <f>33000+K92</f>
        <v>36000</v>
      </c>
      <c r="M92" s="34">
        <f t="shared" si="8"/>
        <v>150</v>
      </c>
      <c r="N92" s="35">
        <f t="shared" si="8"/>
        <v>-4500</v>
      </c>
      <c r="O92" s="64">
        <v>0</v>
      </c>
      <c r="P92" s="65">
        <v>0</v>
      </c>
      <c r="Q92" s="1"/>
      <c r="R92" s="37"/>
    </row>
    <row r="93" spans="1:18" ht="31.5" customHeight="1" thickBot="1">
      <c r="A93" s="60" t="s">
        <v>133</v>
      </c>
      <c r="B93" s="420" t="s">
        <v>134</v>
      </c>
      <c r="C93" s="421"/>
      <c r="D93" s="422"/>
      <c r="E93" s="156">
        <v>4600</v>
      </c>
      <c r="F93" s="31">
        <f>41400+E93</f>
        <v>46000</v>
      </c>
      <c r="G93" s="45"/>
      <c r="H93" s="74"/>
      <c r="I93" s="74"/>
      <c r="J93" s="74"/>
      <c r="K93" s="94">
        <f>G93</f>
        <v>0</v>
      </c>
      <c r="L93" s="33">
        <f>32800+K93</f>
        <v>32800</v>
      </c>
      <c r="M93" s="34">
        <f t="shared" si="8"/>
        <v>4600</v>
      </c>
      <c r="N93" s="35">
        <f t="shared" si="8"/>
        <v>13200</v>
      </c>
      <c r="O93" s="64">
        <v>0</v>
      </c>
      <c r="P93" s="65">
        <v>0</v>
      </c>
      <c r="Q93" s="1"/>
      <c r="R93" s="1"/>
    </row>
    <row r="94" spans="1:18" ht="30" customHeight="1" thickBot="1">
      <c r="A94" s="60" t="s">
        <v>135</v>
      </c>
      <c r="B94" s="420" t="s">
        <v>136</v>
      </c>
      <c r="C94" s="421"/>
      <c r="D94" s="422"/>
      <c r="E94" s="152"/>
      <c r="F94" s="31">
        <f>0+E94</f>
        <v>0</v>
      </c>
      <c r="G94" s="45"/>
      <c r="H94" s="74"/>
      <c r="I94" s="74"/>
      <c r="J94" s="74"/>
      <c r="K94" s="94">
        <f t="shared" si="9"/>
        <v>0</v>
      </c>
      <c r="L94" s="33">
        <f>12301.32+K94</f>
        <v>12301.32</v>
      </c>
      <c r="M94" s="34">
        <f t="shared" si="8"/>
        <v>0</v>
      </c>
      <c r="N94" s="35">
        <f t="shared" si="8"/>
        <v>-12301.32</v>
      </c>
      <c r="O94" s="64">
        <v>0</v>
      </c>
      <c r="P94" s="65">
        <v>0</v>
      </c>
      <c r="Q94" s="1"/>
      <c r="R94" s="80"/>
    </row>
    <row r="95" spans="1:18" ht="20.25" customHeight="1" thickBot="1">
      <c r="A95" s="60" t="s">
        <v>137</v>
      </c>
      <c r="B95" s="420" t="s">
        <v>138</v>
      </c>
      <c r="C95" s="421"/>
      <c r="D95" s="422"/>
      <c r="E95" s="152">
        <v>1420</v>
      </c>
      <c r="F95" s="31">
        <f>12780+E95</f>
        <v>14200</v>
      </c>
      <c r="G95" s="45">
        <v>2460</v>
      </c>
      <c r="H95" s="74"/>
      <c r="I95" s="74"/>
      <c r="J95" s="74"/>
      <c r="K95" s="94">
        <f t="shared" si="9"/>
        <v>2460</v>
      </c>
      <c r="L95" s="33">
        <f>11660+K95</f>
        <v>14120</v>
      </c>
      <c r="M95" s="34">
        <f t="shared" si="8"/>
        <v>-1040</v>
      </c>
      <c r="N95" s="35">
        <f t="shared" si="8"/>
        <v>80</v>
      </c>
      <c r="O95" s="64">
        <v>0</v>
      </c>
      <c r="P95" s="65">
        <v>0</v>
      </c>
      <c r="Q95" s="1"/>
      <c r="R95" s="1"/>
    </row>
    <row r="96" spans="1:18" ht="18" customHeight="1" thickBot="1">
      <c r="A96" s="60" t="s">
        <v>139</v>
      </c>
      <c r="B96" s="420" t="s">
        <v>140</v>
      </c>
      <c r="C96" s="421"/>
      <c r="D96" s="422"/>
      <c r="E96" s="152">
        <v>7500</v>
      </c>
      <c r="F96" s="31">
        <f>61500+E96</f>
        <v>69000</v>
      </c>
      <c r="G96" s="45">
        <v>9269.74</v>
      </c>
      <c r="H96" s="74"/>
      <c r="I96" s="74"/>
      <c r="J96" s="74">
        <v>38.1</v>
      </c>
      <c r="K96" s="94">
        <f>G96+I96+J96</f>
        <v>9307.84</v>
      </c>
      <c r="L96" s="33">
        <f>64067.83+K96</f>
        <v>73375.67</v>
      </c>
      <c r="M96" s="34">
        <f t="shared" si="8"/>
        <v>-1807.8400000000001</v>
      </c>
      <c r="N96" s="35">
        <f t="shared" si="8"/>
        <v>-4375.669999999998</v>
      </c>
      <c r="O96" s="64">
        <v>0</v>
      </c>
      <c r="P96" s="65">
        <v>0</v>
      </c>
      <c r="Q96" s="1"/>
      <c r="R96" s="71"/>
    </row>
    <row r="97" spans="1:16" ht="21" customHeight="1" thickBot="1">
      <c r="A97" s="60" t="s">
        <v>141</v>
      </c>
      <c r="B97" s="491" t="s">
        <v>142</v>
      </c>
      <c r="C97" s="492"/>
      <c r="D97" s="493"/>
      <c r="E97" s="152">
        <v>2910</v>
      </c>
      <c r="F97" s="31">
        <f>26190+E97</f>
        <v>29100</v>
      </c>
      <c r="G97" s="45">
        <v>3000</v>
      </c>
      <c r="H97" s="74"/>
      <c r="I97" s="74"/>
      <c r="J97" s="74"/>
      <c r="K97" s="94">
        <f t="shared" si="9"/>
        <v>3000</v>
      </c>
      <c r="L97" s="33">
        <f>27044+K97</f>
        <v>30044</v>
      </c>
      <c r="M97" s="34">
        <f t="shared" si="8"/>
        <v>-90</v>
      </c>
      <c r="N97" s="35">
        <f t="shared" si="8"/>
        <v>-944</v>
      </c>
      <c r="O97" s="64">
        <v>0</v>
      </c>
      <c r="P97" s="65">
        <v>0</v>
      </c>
    </row>
    <row r="98" spans="1:16" ht="30.75" customHeight="1" thickBot="1">
      <c r="A98" s="60" t="s">
        <v>143</v>
      </c>
      <c r="B98" s="420" t="s">
        <v>144</v>
      </c>
      <c r="C98" s="421"/>
      <c r="D98" s="422"/>
      <c r="E98" s="152"/>
      <c r="F98" s="31">
        <f>16000+E98</f>
        <v>16000</v>
      </c>
      <c r="G98" s="45"/>
      <c r="H98" s="74"/>
      <c r="I98" s="74"/>
      <c r="J98" s="74"/>
      <c r="K98" s="94">
        <f t="shared" si="9"/>
        <v>0</v>
      </c>
      <c r="L98" s="33">
        <f>11546+K98</f>
        <v>11546</v>
      </c>
      <c r="M98" s="34">
        <f t="shared" si="8"/>
        <v>0</v>
      </c>
      <c r="N98" s="35">
        <f t="shared" si="8"/>
        <v>4454</v>
      </c>
      <c r="O98" s="64">
        <v>0</v>
      </c>
      <c r="P98" s="65">
        <v>0</v>
      </c>
    </row>
    <row r="99" spans="1:16" ht="19.5" customHeight="1" thickBot="1">
      <c r="A99" s="60" t="s">
        <v>145</v>
      </c>
      <c r="B99" s="420" t="s">
        <v>146</v>
      </c>
      <c r="C99" s="421"/>
      <c r="D99" s="422"/>
      <c r="E99" s="152">
        <v>9800</v>
      </c>
      <c r="F99" s="31">
        <f>78400+E99</f>
        <v>88200</v>
      </c>
      <c r="G99" s="45">
        <v>18741.52</v>
      </c>
      <c r="H99" s="74"/>
      <c r="I99" s="74"/>
      <c r="J99" s="74"/>
      <c r="K99" s="94">
        <f>G99</f>
        <v>18741.52</v>
      </c>
      <c r="L99" s="33">
        <f>107183.82+K99</f>
        <v>125925.34000000001</v>
      </c>
      <c r="M99" s="34">
        <f t="shared" si="8"/>
        <v>-8941.52</v>
      </c>
      <c r="N99" s="35">
        <f t="shared" si="8"/>
        <v>-37725.34000000001</v>
      </c>
      <c r="O99" s="64">
        <v>0</v>
      </c>
      <c r="P99" s="65">
        <v>0</v>
      </c>
    </row>
    <row r="100" spans="1:18" ht="31.5" customHeight="1" thickBot="1">
      <c r="A100" s="86" t="s">
        <v>147</v>
      </c>
      <c r="B100" s="423" t="s">
        <v>148</v>
      </c>
      <c r="C100" s="424"/>
      <c r="D100" s="425"/>
      <c r="E100" s="73">
        <f>E101+E102</f>
        <v>2200</v>
      </c>
      <c r="F100" s="73">
        <f>F101+F102+F103+F104</f>
        <v>583700</v>
      </c>
      <c r="G100" s="73">
        <f>G101+G103+G104</f>
        <v>13481.01</v>
      </c>
      <c r="H100" s="75">
        <f>H102</f>
        <v>0</v>
      </c>
      <c r="I100" s="55">
        <f>I103</f>
        <v>0</v>
      </c>
      <c r="J100" s="55"/>
      <c r="K100" s="73">
        <f>G100+H100+I100+J100</f>
        <v>13481.01</v>
      </c>
      <c r="L100" s="55">
        <f>L101+L102+L103+L104</f>
        <v>567073.09</v>
      </c>
      <c r="M100" s="56">
        <f t="shared" si="8"/>
        <v>-11281.01</v>
      </c>
      <c r="N100" s="70">
        <f t="shared" si="8"/>
        <v>16626.910000000033</v>
      </c>
      <c r="O100" s="58">
        <v>0</v>
      </c>
      <c r="P100" s="59">
        <v>0</v>
      </c>
      <c r="R100" s="95"/>
    </row>
    <row r="101" spans="1:18" ht="24" customHeight="1" thickBot="1">
      <c r="A101" s="60" t="s">
        <v>149</v>
      </c>
      <c r="B101" s="457" t="s">
        <v>53</v>
      </c>
      <c r="C101" s="458"/>
      <c r="D101" s="459"/>
      <c r="E101" s="61">
        <f>E105+E106+E113+E118+E130+E112+E127+E114+E119</f>
        <v>2200</v>
      </c>
      <c r="F101" s="31">
        <f>581500+E101</f>
        <v>583700</v>
      </c>
      <c r="G101" s="74">
        <f>G112++G106+G113+G117+G119+G127+G118+G105+G129</f>
        <v>13481.01</v>
      </c>
      <c r="H101" s="74"/>
      <c r="I101" s="33"/>
      <c r="J101" s="33"/>
      <c r="K101" s="94">
        <f>G101</f>
        <v>13481.01</v>
      </c>
      <c r="L101" s="33">
        <f>553592.08+K101</f>
        <v>567073.09</v>
      </c>
      <c r="M101" s="34">
        <f t="shared" si="8"/>
        <v>-11281.01</v>
      </c>
      <c r="N101" s="35">
        <f t="shared" si="8"/>
        <v>16626.910000000033</v>
      </c>
      <c r="O101" s="64">
        <v>0</v>
      </c>
      <c r="P101" s="65">
        <v>0</v>
      </c>
      <c r="R101" s="95"/>
    </row>
    <row r="102" spans="1:18" ht="20.25" customHeight="1" thickBot="1">
      <c r="A102" s="60" t="s">
        <v>150</v>
      </c>
      <c r="B102" s="457" t="s">
        <v>51</v>
      </c>
      <c r="C102" s="458"/>
      <c r="D102" s="459"/>
      <c r="E102" s="61">
        <f>E128</f>
        <v>0</v>
      </c>
      <c r="F102" s="31">
        <f>0+E102</f>
        <v>0</v>
      </c>
      <c r="G102" s="74"/>
      <c r="H102" s="74">
        <f>H128</f>
        <v>0</v>
      </c>
      <c r="I102" s="33"/>
      <c r="J102" s="33"/>
      <c r="K102" s="94">
        <f>H102</f>
        <v>0</v>
      </c>
      <c r="L102" s="33">
        <f>0+K102</f>
        <v>0</v>
      </c>
      <c r="M102" s="34">
        <f t="shared" si="8"/>
        <v>0</v>
      </c>
      <c r="N102" s="35">
        <f t="shared" si="8"/>
        <v>0</v>
      </c>
      <c r="O102" s="64">
        <v>0</v>
      </c>
      <c r="P102" s="65">
        <v>0</v>
      </c>
      <c r="R102" s="96"/>
    </row>
    <row r="103" spans="1:16" ht="18" customHeight="1" thickBot="1">
      <c r="A103" s="60" t="s">
        <v>151</v>
      </c>
      <c r="B103" s="405" t="s">
        <v>104</v>
      </c>
      <c r="C103" s="406"/>
      <c r="D103" s="407"/>
      <c r="E103" s="61"/>
      <c r="F103" s="31"/>
      <c r="G103" s="31"/>
      <c r="H103" s="74"/>
      <c r="I103" s="33">
        <f>I127+I116+I130</f>
        <v>0</v>
      </c>
      <c r="J103" s="33"/>
      <c r="K103" s="94">
        <f>I103</f>
        <v>0</v>
      </c>
      <c r="L103" s="33">
        <f>0+K103</f>
        <v>0</v>
      </c>
      <c r="M103" s="34">
        <f aca="true" t="shared" si="10" ref="M103:N119">E103-K103</f>
        <v>0</v>
      </c>
      <c r="N103" s="35">
        <f t="shared" si="10"/>
        <v>0</v>
      </c>
      <c r="O103" s="64">
        <v>0</v>
      </c>
      <c r="P103" s="65">
        <v>0</v>
      </c>
    </row>
    <row r="104" spans="1:18" ht="21" customHeight="1" thickBot="1">
      <c r="A104" s="60" t="s">
        <v>152</v>
      </c>
      <c r="B104" s="457" t="s">
        <v>55</v>
      </c>
      <c r="C104" s="458"/>
      <c r="D104" s="459"/>
      <c r="E104" s="61"/>
      <c r="F104" s="31"/>
      <c r="G104" s="74"/>
      <c r="H104" s="74"/>
      <c r="I104" s="33"/>
      <c r="J104" s="33"/>
      <c r="K104" s="94">
        <f>G104</f>
        <v>0</v>
      </c>
      <c r="L104" s="33">
        <f>0+K104</f>
        <v>0</v>
      </c>
      <c r="M104" s="34">
        <f t="shared" si="10"/>
        <v>0</v>
      </c>
      <c r="N104" s="35">
        <f t="shared" si="10"/>
        <v>0</v>
      </c>
      <c r="O104" s="64">
        <v>0</v>
      </c>
      <c r="P104" s="65">
        <v>0</v>
      </c>
      <c r="R104" s="95"/>
    </row>
    <row r="105" spans="1:16" ht="21.75" customHeight="1" thickBot="1">
      <c r="A105" s="60" t="s">
        <v>153</v>
      </c>
      <c r="B105" s="460" t="s">
        <v>154</v>
      </c>
      <c r="C105" s="461"/>
      <c r="D105" s="462"/>
      <c r="E105" s="31"/>
      <c r="F105" s="31">
        <f>40000+E105</f>
        <v>40000</v>
      </c>
      <c r="G105" s="74"/>
      <c r="H105" s="74"/>
      <c r="I105" s="74"/>
      <c r="J105" s="74"/>
      <c r="K105" s="94">
        <f aca="true" t="shared" si="11" ref="K105:K119">G105</f>
        <v>0</v>
      </c>
      <c r="L105" s="33">
        <f>13900+K105</f>
        <v>13900</v>
      </c>
      <c r="M105" s="34">
        <f t="shared" si="10"/>
        <v>0</v>
      </c>
      <c r="N105" s="35">
        <f t="shared" si="10"/>
        <v>26100</v>
      </c>
      <c r="O105" s="64">
        <v>0</v>
      </c>
      <c r="P105" s="65">
        <v>0</v>
      </c>
    </row>
    <row r="106" spans="1:16" ht="32.25" customHeight="1" thickBot="1">
      <c r="A106" s="60" t="s">
        <v>155</v>
      </c>
      <c r="B106" s="420" t="s">
        <v>156</v>
      </c>
      <c r="C106" s="421"/>
      <c r="D106" s="422"/>
      <c r="E106" s="31"/>
      <c r="F106" s="31">
        <f>11200+E106</f>
        <v>11200</v>
      </c>
      <c r="G106" s="74"/>
      <c r="H106" s="74"/>
      <c r="I106" s="74"/>
      <c r="J106" s="74"/>
      <c r="K106" s="94">
        <f t="shared" si="11"/>
        <v>0</v>
      </c>
      <c r="L106" s="33">
        <f>2800+K106</f>
        <v>2800</v>
      </c>
      <c r="M106" s="34">
        <f t="shared" si="10"/>
        <v>0</v>
      </c>
      <c r="N106" s="35">
        <f t="shared" si="10"/>
        <v>8400</v>
      </c>
      <c r="O106" s="64">
        <v>0</v>
      </c>
      <c r="P106" s="65">
        <v>0</v>
      </c>
    </row>
    <row r="107" spans="1:16" ht="30" customHeight="1" thickBot="1">
      <c r="A107" s="60" t="s">
        <v>157</v>
      </c>
      <c r="B107" s="466" t="s">
        <v>158</v>
      </c>
      <c r="C107" s="467"/>
      <c r="D107" s="468"/>
      <c r="E107" s="31"/>
      <c r="F107" s="31"/>
      <c r="G107" s="74"/>
      <c r="H107" s="74"/>
      <c r="I107" s="74"/>
      <c r="J107" s="74"/>
      <c r="K107" s="94">
        <f t="shared" si="11"/>
        <v>0</v>
      </c>
      <c r="L107" s="33">
        <f>0+K107</f>
        <v>0</v>
      </c>
      <c r="M107" s="34">
        <f t="shared" si="10"/>
        <v>0</v>
      </c>
      <c r="N107" s="35">
        <f t="shared" si="10"/>
        <v>0</v>
      </c>
      <c r="O107" s="64">
        <v>0</v>
      </c>
      <c r="P107" s="65">
        <v>0</v>
      </c>
    </row>
    <row r="108" spans="1:16" ht="25.5" customHeight="1" thickBot="1">
      <c r="A108" s="60" t="s">
        <v>159</v>
      </c>
      <c r="B108" s="420" t="s">
        <v>160</v>
      </c>
      <c r="C108" s="421"/>
      <c r="D108" s="422"/>
      <c r="E108" s="31"/>
      <c r="F108" s="31"/>
      <c r="G108" s="74"/>
      <c r="H108" s="74"/>
      <c r="I108" s="74"/>
      <c r="J108" s="74"/>
      <c r="K108" s="94">
        <f t="shared" si="11"/>
        <v>0</v>
      </c>
      <c r="L108" s="33">
        <f>0+K108</f>
        <v>0</v>
      </c>
      <c r="M108" s="34">
        <f t="shared" si="10"/>
        <v>0</v>
      </c>
      <c r="N108" s="35">
        <f t="shared" si="10"/>
        <v>0</v>
      </c>
      <c r="O108" s="64">
        <v>0</v>
      </c>
      <c r="P108" s="65">
        <v>0</v>
      </c>
    </row>
    <row r="109" spans="1:18" ht="33" customHeight="1" thickBot="1">
      <c r="A109" s="60" t="s">
        <v>161</v>
      </c>
      <c r="B109" s="420" t="s">
        <v>162</v>
      </c>
      <c r="C109" s="421"/>
      <c r="D109" s="422"/>
      <c r="E109" s="31"/>
      <c r="F109" s="31"/>
      <c r="G109" s="74"/>
      <c r="H109" s="74"/>
      <c r="I109" s="74"/>
      <c r="J109" s="74"/>
      <c r="K109" s="94">
        <f t="shared" si="11"/>
        <v>0</v>
      </c>
      <c r="L109" s="33">
        <f>0+K109</f>
        <v>0</v>
      </c>
      <c r="M109" s="34">
        <f t="shared" si="10"/>
        <v>0</v>
      </c>
      <c r="N109" s="35">
        <f t="shared" si="10"/>
        <v>0</v>
      </c>
      <c r="O109" s="64">
        <v>0</v>
      </c>
      <c r="P109" s="65">
        <v>0</v>
      </c>
      <c r="R109" s="96"/>
    </row>
    <row r="110" spans="1:16" ht="24" customHeight="1" thickBot="1">
      <c r="A110" s="60" t="s">
        <v>163</v>
      </c>
      <c r="B110" s="466" t="s">
        <v>164</v>
      </c>
      <c r="C110" s="467"/>
      <c r="D110" s="468"/>
      <c r="E110" s="31"/>
      <c r="F110" s="31"/>
      <c r="G110" s="74"/>
      <c r="H110" s="74"/>
      <c r="I110" s="74"/>
      <c r="J110" s="74"/>
      <c r="K110" s="94">
        <f t="shared" si="11"/>
        <v>0</v>
      </c>
      <c r="L110" s="33">
        <f>0+K110</f>
        <v>0</v>
      </c>
      <c r="M110" s="34">
        <f t="shared" si="10"/>
        <v>0</v>
      </c>
      <c r="N110" s="35">
        <f t="shared" si="10"/>
        <v>0</v>
      </c>
      <c r="O110" s="64">
        <v>0</v>
      </c>
      <c r="P110" s="65">
        <v>0</v>
      </c>
    </row>
    <row r="111" spans="1:16" ht="29.25" customHeight="1" thickBot="1">
      <c r="A111" s="60" t="s">
        <v>165</v>
      </c>
      <c r="B111" s="420" t="s">
        <v>166</v>
      </c>
      <c r="C111" s="421"/>
      <c r="D111" s="422"/>
      <c r="E111" s="31"/>
      <c r="F111" s="31"/>
      <c r="G111" s="74"/>
      <c r="H111" s="74"/>
      <c r="I111" s="74"/>
      <c r="J111" s="74"/>
      <c r="K111" s="94">
        <f t="shared" si="11"/>
        <v>0</v>
      </c>
      <c r="L111" s="33">
        <f>0+K111</f>
        <v>0</v>
      </c>
      <c r="M111" s="34">
        <f t="shared" si="10"/>
        <v>0</v>
      </c>
      <c r="N111" s="35">
        <f t="shared" si="10"/>
        <v>0</v>
      </c>
      <c r="O111" s="64">
        <v>0</v>
      </c>
      <c r="P111" s="65">
        <v>0</v>
      </c>
    </row>
    <row r="112" spans="1:18" ht="21" customHeight="1" thickBot="1">
      <c r="A112" s="60" t="s">
        <v>167</v>
      </c>
      <c r="B112" s="420" t="s">
        <v>168</v>
      </c>
      <c r="C112" s="421"/>
      <c r="D112" s="422"/>
      <c r="E112" s="31"/>
      <c r="F112" s="31"/>
      <c r="G112" s="74"/>
      <c r="H112" s="74"/>
      <c r="I112" s="74"/>
      <c r="J112" s="74"/>
      <c r="K112" s="94">
        <f t="shared" si="11"/>
        <v>0</v>
      </c>
      <c r="L112" s="33">
        <f>35790+K112</f>
        <v>35790</v>
      </c>
      <c r="M112" s="34">
        <f t="shared" si="10"/>
        <v>0</v>
      </c>
      <c r="N112" s="35">
        <f t="shared" si="10"/>
        <v>-35790</v>
      </c>
      <c r="O112" s="64">
        <v>0</v>
      </c>
      <c r="P112" s="65">
        <v>0</v>
      </c>
      <c r="R112" s="95"/>
    </row>
    <row r="113" spans="1:16" ht="45.75" customHeight="1" thickBot="1">
      <c r="A113" s="60" t="s">
        <v>169</v>
      </c>
      <c r="B113" s="420" t="s">
        <v>170</v>
      </c>
      <c r="C113" s="421"/>
      <c r="D113" s="422"/>
      <c r="E113" s="31">
        <v>1000</v>
      </c>
      <c r="F113" s="31">
        <f>9000+E113</f>
        <v>10000</v>
      </c>
      <c r="G113" s="74">
        <v>5431.01</v>
      </c>
      <c r="H113" s="74"/>
      <c r="I113" s="74"/>
      <c r="J113" s="74"/>
      <c r="K113" s="94">
        <f t="shared" si="11"/>
        <v>5431.01</v>
      </c>
      <c r="L113" s="33">
        <f>31565.94+K113</f>
        <v>36996.95</v>
      </c>
      <c r="M113" s="34">
        <f>E113-K113</f>
        <v>-4431.01</v>
      </c>
      <c r="N113" s="35">
        <f t="shared" si="10"/>
        <v>-26996.949999999997</v>
      </c>
      <c r="O113" s="64">
        <v>0</v>
      </c>
      <c r="P113" s="65">
        <v>0</v>
      </c>
    </row>
    <row r="114" spans="1:16" ht="33.75" customHeight="1" thickBot="1">
      <c r="A114" s="60" t="s">
        <v>171</v>
      </c>
      <c r="B114" s="420" t="s">
        <v>172</v>
      </c>
      <c r="C114" s="421"/>
      <c r="D114" s="422"/>
      <c r="E114" s="31"/>
      <c r="F114" s="31">
        <f>164000+E114</f>
        <v>164000</v>
      </c>
      <c r="G114" s="74"/>
      <c r="H114" s="74"/>
      <c r="I114" s="74"/>
      <c r="J114" s="74"/>
      <c r="K114" s="94">
        <f t="shared" si="11"/>
        <v>0</v>
      </c>
      <c r="L114" s="33">
        <f>0+K114</f>
        <v>0</v>
      </c>
      <c r="M114" s="34">
        <f t="shared" si="10"/>
        <v>0</v>
      </c>
      <c r="N114" s="35">
        <f t="shared" si="10"/>
        <v>164000</v>
      </c>
      <c r="O114" s="64">
        <v>0</v>
      </c>
      <c r="P114" s="65">
        <v>0</v>
      </c>
    </row>
    <row r="115" spans="1:16" ht="32.25" customHeight="1" thickBot="1">
      <c r="A115" s="60" t="s">
        <v>173</v>
      </c>
      <c r="B115" s="420" t="s">
        <v>174</v>
      </c>
      <c r="C115" s="421"/>
      <c r="D115" s="422"/>
      <c r="E115" s="31"/>
      <c r="F115" s="31"/>
      <c r="G115" s="74"/>
      <c r="H115" s="74"/>
      <c r="I115" s="74"/>
      <c r="J115" s="74"/>
      <c r="K115" s="94">
        <f t="shared" si="11"/>
        <v>0</v>
      </c>
      <c r="L115" s="33">
        <f>0+K115</f>
        <v>0</v>
      </c>
      <c r="M115" s="34">
        <f t="shared" si="10"/>
        <v>0</v>
      </c>
      <c r="N115" s="35">
        <f t="shared" si="10"/>
        <v>0</v>
      </c>
      <c r="O115" s="64">
        <v>0</v>
      </c>
      <c r="P115" s="65">
        <v>0</v>
      </c>
    </row>
    <row r="116" spans="1:16" ht="43.5" customHeight="1" thickBot="1">
      <c r="A116" s="60"/>
      <c r="B116" s="420" t="s">
        <v>175</v>
      </c>
      <c r="C116" s="421"/>
      <c r="D116" s="422"/>
      <c r="E116" s="31"/>
      <c r="F116" s="31"/>
      <c r="G116" s="74"/>
      <c r="H116" s="74"/>
      <c r="I116" s="74"/>
      <c r="J116" s="74"/>
      <c r="K116" s="94">
        <f>I116</f>
        <v>0</v>
      </c>
      <c r="L116" s="33">
        <f>0+K116</f>
        <v>0</v>
      </c>
      <c r="M116" s="34">
        <f t="shared" si="10"/>
        <v>0</v>
      </c>
      <c r="N116" s="35">
        <f t="shared" si="10"/>
        <v>0</v>
      </c>
      <c r="O116" s="64">
        <v>0</v>
      </c>
      <c r="P116" s="65">
        <v>0</v>
      </c>
    </row>
    <row r="117" spans="1:16" ht="33" customHeight="1" thickBot="1">
      <c r="A117" s="60" t="s">
        <v>176</v>
      </c>
      <c r="B117" s="420" t="s">
        <v>177</v>
      </c>
      <c r="C117" s="421"/>
      <c r="D117" s="422"/>
      <c r="E117" s="31"/>
      <c r="F117" s="31"/>
      <c r="G117" s="74"/>
      <c r="H117" s="74"/>
      <c r="I117" s="74"/>
      <c r="J117" s="74"/>
      <c r="K117" s="94">
        <f>G117</f>
        <v>0</v>
      </c>
      <c r="L117" s="33">
        <f>4979.85+K117</f>
        <v>4979.85</v>
      </c>
      <c r="M117" s="34">
        <f t="shared" si="10"/>
        <v>0</v>
      </c>
      <c r="N117" s="35">
        <f t="shared" si="10"/>
        <v>-4979.85</v>
      </c>
      <c r="O117" s="64">
        <v>0</v>
      </c>
      <c r="P117" s="65">
        <v>0</v>
      </c>
    </row>
    <row r="118" spans="1:18" ht="31.5" customHeight="1" thickBot="1">
      <c r="A118" s="60" t="s">
        <v>178</v>
      </c>
      <c r="B118" s="463" t="s">
        <v>179</v>
      </c>
      <c r="C118" s="464"/>
      <c r="D118" s="465"/>
      <c r="E118" s="31"/>
      <c r="F118" s="31"/>
      <c r="G118" s="74"/>
      <c r="H118" s="74"/>
      <c r="I118" s="74"/>
      <c r="J118" s="74"/>
      <c r="K118" s="94">
        <f>G118</f>
        <v>0</v>
      </c>
      <c r="L118" s="33">
        <f>6546+K118</f>
        <v>6546</v>
      </c>
      <c r="M118" s="34">
        <f t="shared" si="10"/>
        <v>0</v>
      </c>
      <c r="N118" s="35">
        <f t="shared" si="10"/>
        <v>-6546</v>
      </c>
      <c r="O118" s="64">
        <v>0</v>
      </c>
      <c r="P118" s="65">
        <v>0</v>
      </c>
      <c r="R118" s="96"/>
    </row>
    <row r="119" spans="1:16" ht="26.25" customHeight="1" thickBot="1">
      <c r="A119" s="97" t="s">
        <v>180</v>
      </c>
      <c r="B119" s="420" t="s">
        <v>181</v>
      </c>
      <c r="C119" s="421"/>
      <c r="D119" s="422"/>
      <c r="E119" s="31">
        <v>1200</v>
      </c>
      <c r="F119" s="31">
        <f>9100+E119</f>
        <v>10300</v>
      </c>
      <c r="G119" s="74">
        <v>2100</v>
      </c>
      <c r="H119" s="74"/>
      <c r="I119" s="74"/>
      <c r="J119" s="74"/>
      <c r="K119" s="94">
        <f t="shared" si="11"/>
        <v>2100</v>
      </c>
      <c r="L119" s="33">
        <f>15550+K119</f>
        <v>17650</v>
      </c>
      <c r="M119" s="34">
        <f t="shared" si="10"/>
        <v>-900</v>
      </c>
      <c r="N119" s="35">
        <f t="shared" si="10"/>
        <v>-7350</v>
      </c>
      <c r="O119" s="64">
        <v>0</v>
      </c>
      <c r="P119" s="65">
        <v>0</v>
      </c>
    </row>
    <row r="120" spans="1:16" ht="15">
      <c r="A120" s="98"/>
      <c r="B120" s="396" t="s">
        <v>43</v>
      </c>
      <c r="C120" s="396"/>
      <c r="D120" s="396"/>
      <c r="E120" s="396"/>
      <c r="F120" s="396"/>
      <c r="G120" s="396"/>
      <c r="H120" s="396"/>
      <c r="I120" s="396"/>
      <c r="J120" s="396"/>
      <c r="K120" s="396"/>
      <c r="L120" s="396"/>
      <c r="M120" s="396"/>
      <c r="N120" s="396"/>
      <c r="O120" s="396"/>
      <c r="P120" s="397"/>
    </row>
    <row r="121" spans="1:16" ht="0.75" customHeight="1" thickBot="1">
      <c r="A121" s="99"/>
      <c r="B121" s="399"/>
      <c r="C121" s="399"/>
      <c r="D121" s="399"/>
      <c r="E121" s="399"/>
      <c r="F121" s="399"/>
      <c r="G121" s="399"/>
      <c r="H121" s="399"/>
      <c r="I121" s="399"/>
      <c r="J121" s="399"/>
      <c r="K121" s="399"/>
      <c r="L121" s="399"/>
      <c r="M121" s="399"/>
      <c r="N121" s="399"/>
      <c r="O121" s="399"/>
      <c r="P121" s="400"/>
    </row>
    <row r="122" spans="1:16" ht="15" customHeight="1" thickBot="1">
      <c r="A122" s="100"/>
      <c r="B122" s="471" t="s">
        <v>14</v>
      </c>
      <c r="C122" s="472"/>
      <c r="D122" s="473"/>
      <c r="E122" s="477" t="s">
        <v>24</v>
      </c>
      <c r="F122" s="479" t="s">
        <v>25</v>
      </c>
      <c r="G122" s="481" t="s">
        <v>44</v>
      </c>
      <c r="H122" s="482"/>
      <c r="I122" s="482"/>
      <c r="J122" s="482"/>
      <c r="K122" s="483"/>
      <c r="L122" s="469" t="s">
        <v>16</v>
      </c>
      <c r="M122" s="469" t="s">
        <v>17</v>
      </c>
      <c r="N122" s="469" t="s">
        <v>18</v>
      </c>
      <c r="O122" s="469" t="s">
        <v>19</v>
      </c>
      <c r="P122" s="469" t="s">
        <v>20</v>
      </c>
    </row>
    <row r="123" spans="1:16" ht="74.25" customHeight="1" thickBot="1">
      <c r="A123" s="308"/>
      <c r="B123" s="474"/>
      <c r="C123" s="475"/>
      <c r="D123" s="476"/>
      <c r="E123" s="478"/>
      <c r="F123" s="480"/>
      <c r="G123" s="102" t="s">
        <v>45</v>
      </c>
      <c r="H123" s="102" t="s">
        <v>46</v>
      </c>
      <c r="I123" s="102" t="s">
        <v>47</v>
      </c>
      <c r="J123" s="103" t="s">
        <v>48</v>
      </c>
      <c r="K123" s="104" t="s">
        <v>27</v>
      </c>
      <c r="L123" s="470"/>
      <c r="M123" s="470"/>
      <c r="N123" s="470"/>
      <c r="O123" s="470"/>
      <c r="P123" s="470"/>
    </row>
    <row r="124" spans="1:16" ht="15.75" thickBot="1">
      <c r="A124" s="105"/>
      <c r="B124" s="342">
        <v>1</v>
      </c>
      <c r="C124" s="343"/>
      <c r="D124" s="344"/>
      <c r="E124" s="17" t="s">
        <v>22</v>
      </c>
      <c r="F124" s="301">
        <v>3</v>
      </c>
      <c r="G124" s="301">
        <v>4</v>
      </c>
      <c r="H124" s="301">
        <v>5</v>
      </c>
      <c r="I124" s="7">
        <v>6</v>
      </c>
      <c r="J124" s="7">
        <v>7</v>
      </c>
      <c r="K124" s="48">
        <v>8</v>
      </c>
      <c r="L124" s="305">
        <v>9</v>
      </c>
      <c r="M124" s="7">
        <v>10</v>
      </c>
      <c r="N124" s="305">
        <v>11</v>
      </c>
      <c r="O124" s="7">
        <v>12</v>
      </c>
      <c r="P124" s="305">
        <v>13</v>
      </c>
    </row>
    <row r="125" spans="1:16" ht="22.5" customHeight="1" thickBot="1">
      <c r="A125" s="106" t="s">
        <v>182</v>
      </c>
      <c r="B125" s="411" t="s">
        <v>183</v>
      </c>
      <c r="C125" s="412"/>
      <c r="D125" s="413"/>
      <c r="E125" s="31"/>
      <c r="F125" s="31"/>
      <c r="G125" s="74"/>
      <c r="H125" s="74"/>
      <c r="I125" s="74"/>
      <c r="J125" s="74"/>
      <c r="K125" s="94">
        <f aca="true" t="shared" si="12" ref="K125:K139">G125</f>
        <v>0</v>
      </c>
      <c r="L125" s="33">
        <f>0+K125</f>
        <v>0</v>
      </c>
      <c r="M125" s="34">
        <f aca="true" t="shared" si="13" ref="M125:N140">E125-K125</f>
        <v>0</v>
      </c>
      <c r="N125" s="35">
        <f t="shared" si="13"/>
        <v>0</v>
      </c>
      <c r="O125" s="64">
        <v>0</v>
      </c>
      <c r="P125" s="65">
        <v>0</v>
      </c>
    </row>
    <row r="126" spans="1:16" ht="41.25" thickBot="1">
      <c r="A126" s="107" t="s">
        <v>184</v>
      </c>
      <c r="B126" s="426" t="s">
        <v>185</v>
      </c>
      <c r="C126" s="427"/>
      <c r="D126" s="428"/>
      <c r="E126" s="31"/>
      <c r="F126" s="31"/>
      <c r="G126" s="74"/>
      <c r="H126" s="74"/>
      <c r="I126" s="74"/>
      <c r="J126" s="74"/>
      <c r="K126" s="94">
        <f t="shared" si="12"/>
        <v>0</v>
      </c>
      <c r="L126" s="33">
        <f>0+K126</f>
        <v>0</v>
      </c>
      <c r="M126" s="34">
        <f t="shared" si="13"/>
        <v>0</v>
      </c>
      <c r="N126" s="35">
        <f t="shared" si="13"/>
        <v>0</v>
      </c>
      <c r="O126" s="64">
        <v>0</v>
      </c>
      <c r="P126" s="65">
        <v>0</v>
      </c>
    </row>
    <row r="127" spans="1:16" ht="33" customHeight="1" thickBot="1">
      <c r="A127" s="108" t="s">
        <v>186</v>
      </c>
      <c r="B127" s="426" t="s">
        <v>187</v>
      </c>
      <c r="C127" s="427"/>
      <c r="D127" s="428"/>
      <c r="E127" s="31"/>
      <c r="F127" s="31">
        <f>300000+E127</f>
        <v>300000</v>
      </c>
      <c r="G127" s="74"/>
      <c r="H127" s="74"/>
      <c r="I127" s="74"/>
      <c r="J127" s="74"/>
      <c r="K127" s="94">
        <f>I127+G127</f>
        <v>0</v>
      </c>
      <c r="L127" s="33">
        <f>436890.29+K127</f>
        <v>436890.29</v>
      </c>
      <c r="M127" s="34">
        <f t="shared" si="13"/>
        <v>0</v>
      </c>
      <c r="N127" s="35">
        <f t="shared" si="13"/>
        <v>-136890.28999999998</v>
      </c>
      <c r="O127" s="64">
        <v>0</v>
      </c>
      <c r="P127" s="65">
        <v>0</v>
      </c>
    </row>
    <row r="128" spans="1:16" ht="50.25" customHeight="1" thickBot="1">
      <c r="A128" s="108" t="s">
        <v>188</v>
      </c>
      <c r="B128" s="426" t="s">
        <v>189</v>
      </c>
      <c r="C128" s="427"/>
      <c r="D128" s="428"/>
      <c r="E128" s="31"/>
      <c r="F128" s="31">
        <f>0+E128</f>
        <v>0</v>
      </c>
      <c r="G128" s="74"/>
      <c r="H128" s="74"/>
      <c r="I128" s="74"/>
      <c r="J128" s="74"/>
      <c r="K128" s="94">
        <f>H128</f>
        <v>0</v>
      </c>
      <c r="L128" s="33">
        <f>0+K128</f>
        <v>0</v>
      </c>
      <c r="M128" s="34">
        <f t="shared" si="13"/>
        <v>0</v>
      </c>
      <c r="N128" s="35">
        <f t="shared" si="13"/>
        <v>0</v>
      </c>
      <c r="O128" s="64">
        <v>0</v>
      </c>
      <c r="P128" s="65">
        <v>0</v>
      </c>
    </row>
    <row r="129" spans="1:16" ht="30" customHeight="1" thickBot="1">
      <c r="A129" s="109" t="s">
        <v>190</v>
      </c>
      <c r="B129" s="426" t="s">
        <v>191</v>
      </c>
      <c r="C129" s="427"/>
      <c r="D129" s="428"/>
      <c r="E129" s="31"/>
      <c r="F129" s="31"/>
      <c r="G129" s="74">
        <v>5950</v>
      </c>
      <c r="H129" s="74"/>
      <c r="I129" s="74"/>
      <c r="J129" s="74"/>
      <c r="K129" s="94">
        <f>G129</f>
        <v>5950</v>
      </c>
      <c r="L129" s="33">
        <f>5570+K129</f>
        <v>11520</v>
      </c>
      <c r="M129" s="34">
        <f t="shared" si="13"/>
        <v>-5950</v>
      </c>
      <c r="N129" s="35">
        <f t="shared" si="13"/>
        <v>-11520</v>
      </c>
      <c r="O129" s="64">
        <v>0</v>
      </c>
      <c r="P129" s="65">
        <v>0</v>
      </c>
    </row>
    <row r="130" spans="1:16" ht="41.25" customHeight="1" thickBot="1">
      <c r="A130" s="109" t="s">
        <v>192</v>
      </c>
      <c r="B130" s="494" t="s">
        <v>193</v>
      </c>
      <c r="C130" s="495"/>
      <c r="D130" s="496"/>
      <c r="E130" s="31"/>
      <c r="F130" s="31">
        <f>6000+E130</f>
        <v>6000</v>
      </c>
      <c r="G130" s="74"/>
      <c r="H130" s="74"/>
      <c r="I130" s="74"/>
      <c r="J130" s="74"/>
      <c r="K130" s="94">
        <f>G130+I130</f>
        <v>0</v>
      </c>
      <c r="L130" s="33">
        <f>0+K130</f>
        <v>0</v>
      </c>
      <c r="M130" s="34">
        <f t="shared" si="13"/>
        <v>0</v>
      </c>
      <c r="N130" s="35">
        <f t="shared" si="13"/>
        <v>6000</v>
      </c>
      <c r="O130" s="64">
        <v>0</v>
      </c>
      <c r="P130" s="65">
        <v>0</v>
      </c>
    </row>
    <row r="131" spans="1:19" ht="30" customHeight="1" thickBot="1">
      <c r="A131" s="259">
        <v>15</v>
      </c>
      <c r="B131" s="418" t="s">
        <v>194</v>
      </c>
      <c r="C131" s="418"/>
      <c r="D131" s="419"/>
      <c r="E131" s="73">
        <f>E132+E133</f>
        <v>0</v>
      </c>
      <c r="F131" s="73">
        <f>F132</f>
        <v>130000</v>
      </c>
      <c r="G131" s="75">
        <f>G132+G133</f>
        <v>16171</v>
      </c>
      <c r="H131" s="74"/>
      <c r="I131" s="74"/>
      <c r="J131" s="74"/>
      <c r="K131" s="93">
        <f t="shared" si="12"/>
        <v>16171</v>
      </c>
      <c r="L131" s="55">
        <f>L132+L133</f>
        <v>34221.82</v>
      </c>
      <c r="M131" s="56">
        <f t="shared" si="13"/>
        <v>-16171</v>
      </c>
      <c r="N131" s="70">
        <f t="shared" si="13"/>
        <v>95778.18</v>
      </c>
      <c r="O131" s="58">
        <v>0</v>
      </c>
      <c r="P131" s="59">
        <v>0</v>
      </c>
      <c r="Q131" s="1"/>
      <c r="R131" s="1"/>
      <c r="S131" s="1"/>
    </row>
    <row r="132" spans="1:19" ht="29.25" customHeight="1" thickBot="1">
      <c r="A132" s="60" t="s">
        <v>195</v>
      </c>
      <c r="B132" s="405" t="s">
        <v>53</v>
      </c>
      <c r="C132" s="406"/>
      <c r="D132" s="407"/>
      <c r="E132" s="155"/>
      <c r="F132" s="31">
        <f>130000+E132</f>
        <v>130000</v>
      </c>
      <c r="G132" s="74">
        <v>16171</v>
      </c>
      <c r="H132" s="74"/>
      <c r="I132" s="74"/>
      <c r="J132" s="74"/>
      <c r="K132" s="94">
        <f t="shared" si="12"/>
        <v>16171</v>
      </c>
      <c r="L132" s="33">
        <f>18050.82+K132</f>
        <v>34221.82</v>
      </c>
      <c r="M132" s="34">
        <f t="shared" si="13"/>
        <v>-16171</v>
      </c>
      <c r="N132" s="35">
        <f t="shared" si="13"/>
        <v>95778.18</v>
      </c>
      <c r="O132" s="64">
        <v>0</v>
      </c>
      <c r="P132" s="65">
        <v>0</v>
      </c>
      <c r="Q132" s="1"/>
      <c r="R132" s="1"/>
      <c r="S132" s="1"/>
    </row>
    <row r="133" spans="1:19" ht="32.25" customHeight="1" thickBot="1">
      <c r="A133" s="60" t="s">
        <v>196</v>
      </c>
      <c r="B133" s="405" t="s">
        <v>104</v>
      </c>
      <c r="C133" s="406"/>
      <c r="D133" s="407"/>
      <c r="E133" s="61"/>
      <c r="F133" s="31"/>
      <c r="G133" s="74"/>
      <c r="H133" s="74"/>
      <c r="I133" s="74"/>
      <c r="J133" s="74"/>
      <c r="K133" s="94">
        <f t="shared" si="12"/>
        <v>0</v>
      </c>
      <c r="L133" s="33">
        <f>0+K133</f>
        <v>0</v>
      </c>
      <c r="M133" s="34">
        <f t="shared" si="13"/>
        <v>0</v>
      </c>
      <c r="N133" s="35">
        <f t="shared" si="13"/>
        <v>0</v>
      </c>
      <c r="O133" s="64">
        <v>0</v>
      </c>
      <c r="P133" s="65">
        <v>0</v>
      </c>
      <c r="Q133" s="1"/>
      <c r="R133" s="1"/>
      <c r="S133" s="1"/>
    </row>
    <row r="134" spans="1:19" ht="30" customHeight="1" thickBot="1">
      <c r="A134" s="260">
        <v>16</v>
      </c>
      <c r="B134" s="418" t="s">
        <v>197</v>
      </c>
      <c r="C134" s="418"/>
      <c r="D134" s="419"/>
      <c r="E134" s="31">
        <v>0</v>
      </c>
      <c r="F134" s="73">
        <f>F135</f>
        <v>0</v>
      </c>
      <c r="G134" s="75">
        <f>G135+G136</f>
        <v>0</v>
      </c>
      <c r="H134" s="74"/>
      <c r="I134" s="74"/>
      <c r="J134" s="74"/>
      <c r="K134" s="93">
        <f t="shared" si="12"/>
        <v>0</v>
      </c>
      <c r="L134" s="55">
        <f>0+K134</f>
        <v>0</v>
      </c>
      <c r="M134" s="56">
        <f t="shared" si="13"/>
        <v>0</v>
      </c>
      <c r="N134" s="70">
        <f t="shared" si="13"/>
        <v>0</v>
      </c>
      <c r="O134" s="58">
        <v>0</v>
      </c>
      <c r="P134" s="59">
        <v>0</v>
      </c>
      <c r="Q134" s="1"/>
      <c r="R134" s="1"/>
      <c r="S134" s="1"/>
    </row>
    <row r="135" spans="1:19" ht="30.75" customHeight="1" thickBot="1">
      <c r="A135" s="60" t="s">
        <v>198</v>
      </c>
      <c r="B135" s="405" t="s">
        <v>53</v>
      </c>
      <c r="C135" s="406"/>
      <c r="D135" s="407"/>
      <c r="E135" s="61"/>
      <c r="F135" s="31">
        <v>0</v>
      </c>
      <c r="G135" s="74"/>
      <c r="H135" s="74"/>
      <c r="I135" s="74"/>
      <c r="J135" s="74"/>
      <c r="K135" s="94">
        <f t="shared" si="12"/>
        <v>0</v>
      </c>
      <c r="L135" s="33">
        <f>0+K135</f>
        <v>0</v>
      </c>
      <c r="M135" s="34">
        <f t="shared" si="13"/>
        <v>0</v>
      </c>
      <c r="N135" s="35">
        <f t="shared" si="13"/>
        <v>0</v>
      </c>
      <c r="O135" s="64">
        <v>0</v>
      </c>
      <c r="P135" s="65">
        <v>0</v>
      </c>
      <c r="Q135" s="1"/>
      <c r="R135" s="1"/>
      <c r="S135" s="1"/>
    </row>
    <row r="136" spans="1:19" ht="27" customHeight="1" thickBot="1">
      <c r="A136" s="60" t="s">
        <v>199</v>
      </c>
      <c r="B136" s="405" t="s">
        <v>104</v>
      </c>
      <c r="C136" s="406"/>
      <c r="D136" s="407"/>
      <c r="E136" s="61"/>
      <c r="F136" s="31"/>
      <c r="G136" s="74"/>
      <c r="H136" s="74"/>
      <c r="I136" s="74"/>
      <c r="J136" s="74"/>
      <c r="K136" s="94">
        <f t="shared" si="12"/>
        <v>0</v>
      </c>
      <c r="L136" s="33">
        <f>0+K136</f>
        <v>0</v>
      </c>
      <c r="M136" s="34">
        <f t="shared" si="13"/>
        <v>0</v>
      </c>
      <c r="N136" s="35">
        <f t="shared" si="13"/>
        <v>0</v>
      </c>
      <c r="O136" s="64">
        <v>0</v>
      </c>
      <c r="P136" s="65">
        <v>0</v>
      </c>
      <c r="Q136" s="1"/>
      <c r="R136" s="1"/>
      <c r="S136" s="1"/>
    </row>
    <row r="137" spans="1:19" ht="48" customHeight="1" thickBot="1">
      <c r="A137" s="259">
        <v>17</v>
      </c>
      <c r="B137" s="418" t="s">
        <v>200</v>
      </c>
      <c r="C137" s="418"/>
      <c r="D137" s="419"/>
      <c r="E137" s="73">
        <v>0</v>
      </c>
      <c r="F137" s="73">
        <f>F138</f>
        <v>0</v>
      </c>
      <c r="G137" s="75">
        <f>G138+G139</f>
        <v>5140</v>
      </c>
      <c r="H137" s="75"/>
      <c r="I137" s="75"/>
      <c r="J137" s="75"/>
      <c r="K137" s="93">
        <f t="shared" si="12"/>
        <v>5140</v>
      </c>
      <c r="L137" s="55">
        <f>L138</f>
        <v>73644</v>
      </c>
      <c r="M137" s="56">
        <f t="shared" si="13"/>
        <v>-5140</v>
      </c>
      <c r="N137" s="70">
        <f t="shared" si="13"/>
        <v>-73644</v>
      </c>
      <c r="O137" s="58">
        <v>0</v>
      </c>
      <c r="P137" s="59">
        <v>0</v>
      </c>
      <c r="Q137" s="1"/>
      <c r="R137" s="1"/>
      <c r="S137" s="1"/>
    </row>
    <row r="138" spans="1:19" ht="24" customHeight="1" thickBot="1">
      <c r="A138" s="60" t="s">
        <v>201</v>
      </c>
      <c r="B138" s="457" t="s">
        <v>53</v>
      </c>
      <c r="C138" s="458"/>
      <c r="D138" s="459"/>
      <c r="E138" s="61"/>
      <c r="F138" s="31">
        <f>0+E138</f>
        <v>0</v>
      </c>
      <c r="G138" s="74">
        <v>5140</v>
      </c>
      <c r="H138" s="74"/>
      <c r="I138" s="74"/>
      <c r="J138" s="74"/>
      <c r="K138" s="94">
        <f t="shared" si="12"/>
        <v>5140</v>
      </c>
      <c r="L138" s="33">
        <f>68504+K138</f>
        <v>73644</v>
      </c>
      <c r="M138" s="34">
        <f t="shared" si="13"/>
        <v>-5140</v>
      </c>
      <c r="N138" s="35">
        <f t="shared" si="13"/>
        <v>-73644</v>
      </c>
      <c r="O138" s="64">
        <v>0</v>
      </c>
      <c r="P138" s="65">
        <v>0</v>
      </c>
      <c r="Q138" s="1"/>
      <c r="R138" s="1"/>
      <c r="S138" s="1"/>
    </row>
    <row r="139" spans="1:19" ht="26.25" customHeight="1" thickBot="1">
      <c r="A139" s="60" t="s">
        <v>202</v>
      </c>
      <c r="B139" s="405" t="s">
        <v>104</v>
      </c>
      <c r="C139" s="406"/>
      <c r="D139" s="407"/>
      <c r="E139" s="61"/>
      <c r="F139" s="31"/>
      <c r="G139" s="74"/>
      <c r="H139" s="74"/>
      <c r="I139" s="74"/>
      <c r="J139" s="74"/>
      <c r="K139" s="94">
        <f t="shared" si="12"/>
        <v>0</v>
      </c>
      <c r="L139" s="33">
        <f>0+K139</f>
        <v>0</v>
      </c>
      <c r="M139" s="34">
        <f t="shared" si="13"/>
        <v>0</v>
      </c>
      <c r="N139" s="35">
        <f t="shared" si="13"/>
        <v>0</v>
      </c>
      <c r="O139" s="64">
        <v>0</v>
      </c>
      <c r="P139" s="65">
        <v>0</v>
      </c>
      <c r="Q139" s="1"/>
      <c r="R139" s="1"/>
      <c r="S139" s="1"/>
    </row>
    <row r="140" spans="1:19" ht="25.5" customHeight="1" thickBot="1">
      <c r="A140" s="110">
        <v>18</v>
      </c>
      <c r="B140" s="424" t="s">
        <v>42</v>
      </c>
      <c r="C140" s="424"/>
      <c r="D140" s="425"/>
      <c r="E140" s="31">
        <v>0</v>
      </c>
      <c r="F140" s="31"/>
      <c r="G140" s="74"/>
      <c r="H140" s="74"/>
      <c r="I140" s="74"/>
      <c r="J140" s="75">
        <v>133514.13</v>
      </c>
      <c r="K140" s="93">
        <f>J140</f>
        <v>133514.13</v>
      </c>
      <c r="L140" s="55">
        <f>1235170.47+K140</f>
        <v>1368684.6</v>
      </c>
      <c r="M140" s="56">
        <f>E140-K140</f>
        <v>-133514.13</v>
      </c>
      <c r="N140" s="70">
        <f t="shared" si="13"/>
        <v>-1368684.6</v>
      </c>
      <c r="O140" s="58">
        <v>0</v>
      </c>
      <c r="P140" s="59">
        <v>0</v>
      </c>
      <c r="Q140" s="1"/>
      <c r="R140" s="1"/>
      <c r="S140" s="1"/>
    </row>
    <row r="141" spans="1:19" ht="58.5" customHeight="1" thickBot="1">
      <c r="A141" s="112"/>
      <c r="B141" s="488" t="s">
        <v>203</v>
      </c>
      <c r="C141" s="488"/>
      <c r="D141" s="488"/>
      <c r="E141" s="488"/>
      <c r="F141" s="113"/>
      <c r="G141" s="113" t="s">
        <v>4</v>
      </c>
      <c r="H141" s="303" t="s">
        <v>5</v>
      </c>
      <c r="I141" s="338" t="s">
        <v>6</v>
      </c>
      <c r="J141" s="339"/>
      <c r="K141" s="8" t="s">
        <v>11</v>
      </c>
      <c r="L141" s="7" t="s">
        <v>8</v>
      </c>
      <c r="M141" s="7" t="s">
        <v>9</v>
      </c>
      <c r="N141" s="115" t="s">
        <v>10</v>
      </c>
      <c r="O141" s="116"/>
      <c r="P141" s="304"/>
      <c r="Q141" s="1"/>
      <c r="R141" s="1"/>
      <c r="S141" s="1"/>
    </row>
    <row r="142" spans="1:19" ht="15" customHeight="1" thickBot="1">
      <c r="A142" s="118"/>
      <c r="B142" s="488" t="s">
        <v>12</v>
      </c>
      <c r="C142" s="488"/>
      <c r="D142" s="488"/>
      <c r="E142" s="489"/>
      <c r="F142" s="119"/>
      <c r="G142" s="119">
        <v>0</v>
      </c>
      <c r="H142" s="4">
        <v>0</v>
      </c>
      <c r="I142" s="330">
        <v>0</v>
      </c>
      <c r="J142" s="331"/>
      <c r="K142" s="120"/>
      <c r="L142" s="4">
        <v>0</v>
      </c>
      <c r="M142" s="299">
        <v>0</v>
      </c>
      <c r="N142" s="299">
        <v>0</v>
      </c>
      <c r="O142" s="4"/>
      <c r="P142" s="4">
        <v>0</v>
      </c>
      <c r="Q142" s="1"/>
      <c r="R142" s="80"/>
      <c r="S142" s="1"/>
    </row>
    <row r="143" spans="1:19" ht="22.5" customHeight="1" thickBot="1">
      <c r="A143" s="112"/>
      <c r="B143" s="488" t="s">
        <v>13</v>
      </c>
      <c r="C143" s="488"/>
      <c r="D143" s="488"/>
      <c r="E143" s="489"/>
      <c r="F143" s="4"/>
      <c r="G143" s="4">
        <f>F10+G17-G33-G37-G41-G46-G56-G66-G69-G73-G76-G80-G88-G101-G132-G135-G138-G82</f>
        <v>42710.189999999675</v>
      </c>
      <c r="H143" s="4">
        <f>G18+H10-H30</f>
        <v>0</v>
      </c>
      <c r="I143" s="330">
        <f>I10+G19-I103-I67-I96-I77</f>
        <v>3000</v>
      </c>
      <c r="J143" s="331"/>
      <c r="K143" s="120">
        <f>O10+G22-J55</f>
        <v>5262.84</v>
      </c>
      <c r="L143" s="4">
        <f>L10+G23-J140</f>
        <v>195398.15000000002</v>
      </c>
      <c r="M143" s="299">
        <v>0</v>
      </c>
      <c r="N143" s="4">
        <f>N10+G21-J34-J91-J38</f>
        <v>53.23999999999978</v>
      </c>
      <c r="O143" s="121"/>
      <c r="P143" s="4">
        <f>SUM(G143:O143)</f>
        <v>246424.4199999997</v>
      </c>
      <c r="Q143" s="1"/>
      <c r="R143" s="80"/>
      <c r="S143" s="37"/>
    </row>
    <row r="144" spans="1:19" ht="18.75" customHeight="1" thickBot="1">
      <c r="A144" s="122"/>
      <c r="B144" s="323" t="s">
        <v>249</v>
      </c>
      <c r="C144" s="323"/>
      <c r="D144" s="323"/>
      <c r="E144" s="324"/>
      <c r="F144" s="325"/>
      <c r="G144" s="325"/>
      <c r="H144" s="325"/>
      <c r="I144" s="325"/>
      <c r="J144" s="325"/>
      <c r="K144" s="325"/>
      <c r="L144" s="325"/>
      <c r="M144" s="325"/>
      <c r="N144" s="484"/>
      <c r="O144" s="485"/>
      <c r="P144" s="123">
        <f>P143</f>
        <v>246424.4199999997</v>
      </c>
      <c r="Q144" s="1"/>
      <c r="R144" s="37"/>
      <c r="S144" s="37"/>
    </row>
    <row r="145" spans="1:19" ht="15">
      <c r="A145" s="1"/>
      <c r="B145" s="124"/>
      <c r="C145" s="124"/>
      <c r="D145" s="124"/>
      <c r="E145" s="124"/>
      <c r="F145" s="125"/>
      <c r="G145" s="125"/>
      <c r="H145" s="125"/>
      <c r="I145" s="125"/>
      <c r="J145" s="125"/>
      <c r="K145" s="126"/>
      <c r="L145" s="125"/>
      <c r="M145" s="125"/>
      <c r="N145" s="125"/>
      <c r="O145" s="127"/>
      <c r="P145" s="128"/>
      <c r="Q145" s="1"/>
      <c r="R145" s="37"/>
      <c r="S145" s="1"/>
    </row>
    <row r="146" spans="1:19" ht="15">
      <c r="A146" s="1"/>
      <c r="B146" s="486" t="s">
        <v>204</v>
      </c>
      <c r="C146" s="486"/>
      <c r="D146" s="486"/>
      <c r="E146" s="486"/>
      <c r="F146" s="486"/>
      <c r="G146" s="486"/>
      <c r="H146" s="486"/>
      <c r="I146" s="486"/>
      <c r="J146" s="486"/>
      <c r="K146" s="486"/>
      <c r="L146" s="486"/>
      <c r="M146" s="486"/>
      <c r="N146" s="486"/>
      <c r="O146" s="487" t="s">
        <v>205</v>
      </c>
      <c r="P146" s="487"/>
      <c r="Q146" s="1"/>
      <c r="R146" s="80"/>
      <c r="S146" s="37"/>
    </row>
    <row r="147" spans="1:19" ht="15">
      <c r="A147" s="1"/>
      <c r="B147" s="486" t="s">
        <v>206</v>
      </c>
      <c r="C147" s="486"/>
      <c r="D147" s="486"/>
      <c r="E147" s="486"/>
      <c r="F147" s="486"/>
      <c r="G147" s="486"/>
      <c r="H147" s="486"/>
      <c r="I147" s="486"/>
      <c r="J147" s="486"/>
      <c r="K147" s="486"/>
      <c r="L147" s="486"/>
      <c r="M147" s="486"/>
      <c r="N147" s="486"/>
      <c r="O147" s="486" t="s">
        <v>207</v>
      </c>
      <c r="P147" s="486"/>
      <c r="Q147" s="1"/>
      <c r="R147" s="1"/>
      <c r="S147" s="1"/>
    </row>
    <row r="148" spans="1:19" ht="15">
      <c r="A148" s="1"/>
      <c r="B148" s="312"/>
      <c r="C148" s="312"/>
      <c r="D148" s="312"/>
      <c r="E148" s="312"/>
      <c r="F148" s="312"/>
      <c r="G148" s="312"/>
      <c r="H148" s="312"/>
      <c r="I148" s="312"/>
      <c r="J148" s="130"/>
      <c r="K148" s="131"/>
      <c r="L148" s="130"/>
      <c r="M148" s="312"/>
      <c r="N148" s="312"/>
      <c r="O148" s="312"/>
      <c r="P148" s="130"/>
      <c r="Q148" s="1"/>
      <c r="R148" s="37"/>
      <c r="S148" s="1"/>
    </row>
    <row r="150" spans="1:19" ht="15">
      <c r="A150" s="1"/>
      <c r="B150" s="1"/>
      <c r="C150" s="1"/>
      <c r="D150" s="1"/>
      <c r="E150" s="1"/>
      <c r="F150" s="1"/>
      <c r="G150" s="1"/>
      <c r="H150" s="1"/>
      <c r="I150" s="132"/>
      <c r="J150" s="1"/>
      <c r="K150" s="1"/>
      <c r="L150" s="1"/>
      <c r="M150" s="1"/>
      <c r="N150" s="1"/>
      <c r="O150" s="1"/>
      <c r="P150" s="1"/>
      <c r="Q150" s="1"/>
      <c r="R150" s="37"/>
      <c r="S150" s="1"/>
    </row>
    <row r="151" spans="1:19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37"/>
      <c r="S151" s="1"/>
    </row>
    <row r="152" spans="1:19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7"/>
      <c r="O152" s="1"/>
      <c r="P152" s="1"/>
      <c r="Q152" s="1"/>
      <c r="R152" s="1"/>
      <c r="S152" s="1"/>
    </row>
    <row r="153" spans="12:16" ht="15">
      <c r="L153" s="1"/>
      <c r="M153" s="1"/>
      <c r="N153" s="37"/>
      <c r="O153" s="1"/>
      <c r="P153" s="37"/>
    </row>
    <row r="154" spans="12:16" ht="15">
      <c r="L154" s="1"/>
      <c r="M154" s="1"/>
      <c r="N154" s="133"/>
      <c r="O154" s="1"/>
      <c r="P154" s="37"/>
    </row>
    <row r="155" spans="12:16" ht="15">
      <c r="L155" s="37"/>
      <c r="M155" s="1"/>
      <c r="N155" s="1"/>
      <c r="O155" s="1"/>
      <c r="P155" s="1"/>
    </row>
    <row r="156" spans="12:18" ht="15.75">
      <c r="L156" s="37"/>
      <c r="M156" s="37"/>
      <c r="N156" s="1"/>
      <c r="O156" s="1"/>
      <c r="P156" s="1"/>
      <c r="R156" s="317"/>
    </row>
  </sheetData>
  <sheetProtection/>
  <mergeCells count="201">
    <mergeCell ref="B1:P1"/>
    <mergeCell ref="B2:P2"/>
    <mergeCell ref="B3:P3"/>
    <mergeCell ref="B4:P4"/>
    <mergeCell ref="B5:E5"/>
    <mergeCell ref="F5:O5"/>
    <mergeCell ref="B9:E9"/>
    <mergeCell ref="F9:G9"/>
    <mergeCell ref="I9:J9"/>
    <mergeCell ref="B10:E10"/>
    <mergeCell ref="F10:G10"/>
    <mergeCell ref="I10:J10"/>
    <mergeCell ref="B6:E6"/>
    <mergeCell ref="F6:O6"/>
    <mergeCell ref="B7:E7"/>
    <mergeCell ref="F7:P7"/>
    <mergeCell ref="B8:E8"/>
    <mergeCell ref="F8:G8"/>
    <mergeCell ref="I8:J8"/>
    <mergeCell ref="P12:P13"/>
    <mergeCell ref="B14:D14"/>
    <mergeCell ref="G14:J14"/>
    <mergeCell ref="A15:A16"/>
    <mergeCell ref="B15:D16"/>
    <mergeCell ref="G15:J15"/>
    <mergeCell ref="G16:J16"/>
    <mergeCell ref="B11:E11"/>
    <mergeCell ref="F11:P11"/>
    <mergeCell ref="A12:A13"/>
    <mergeCell ref="B12:E13"/>
    <mergeCell ref="F12:F13"/>
    <mergeCell ref="G12:K13"/>
    <mergeCell ref="L12:L13"/>
    <mergeCell ref="M12:M13"/>
    <mergeCell ref="N12:N13"/>
    <mergeCell ref="O12:O13"/>
    <mergeCell ref="B20:D20"/>
    <mergeCell ref="G20:J20"/>
    <mergeCell ref="B21:D21"/>
    <mergeCell ref="G21:J21"/>
    <mergeCell ref="B22:D22"/>
    <mergeCell ref="G22:J22"/>
    <mergeCell ref="B17:D17"/>
    <mergeCell ref="G17:J17"/>
    <mergeCell ref="B18:D18"/>
    <mergeCell ref="G18:J18"/>
    <mergeCell ref="B19:D19"/>
    <mergeCell ref="G19:J19"/>
    <mergeCell ref="P27:P28"/>
    <mergeCell ref="B29:D29"/>
    <mergeCell ref="B30:D30"/>
    <mergeCell ref="B23:D23"/>
    <mergeCell ref="G23:J23"/>
    <mergeCell ref="A25:A26"/>
    <mergeCell ref="B25:P26"/>
    <mergeCell ref="A27:A28"/>
    <mergeCell ref="B27:D28"/>
    <mergeCell ref="E27:E28"/>
    <mergeCell ref="F27:F28"/>
    <mergeCell ref="G27:K27"/>
    <mergeCell ref="L27:L28"/>
    <mergeCell ref="B31:D31"/>
    <mergeCell ref="B32:D32"/>
    <mergeCell ref="B33:D33"/>
    <mergeCell ref="B34:D34"/>
    <mergeCell ref="B35:D35"/>
    <mergeCell ref="B36:D36"/>
    <mergeCell ref="M27:M28"/>
    <mergeCell ref="N27:N28"/>
    <mergeCell ref="O27:O28"/>
    <mergeCell ref="B43:D43"/>
    <mergeCell ref="B44:D44"/>
    <mergeCell ref="B45:D45"/>
    <mergeCell ref="B46:D46"/>
    <mergeCell ref="B47:D47"/>
    <mergeCell ref="B49:D49"/>
    <mergeCell ref="B37:D37"/>
    <mergeCell ref="B38:D38"/>
    <mergeCell ref="B39:D39"/>
    <mergeCell ref="B40:D40"/>
    <mergeCell ref="B41:D41"/>
    <mergeCell ref="B42:D42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68:D68"/>
    <mergeCell ref="B69:D69"/>
    <mergeCell ref="B70:D70"/>
    <mergeCell ref="B71:D71"/>
    <mergeCell ref="B72:D72"/>
    <mergeCell ref="B73:D73"/>
    <mergeCell ref="B62:D62"/>
    <mergeCell ref="B63:D63"/>
    <mergeCell ref="B64:D64"/>
    <mergeCell ref="B65:D65"/>
    <mergeCell ref="B66:D66"/>
    <mergeCell ref="B67:D67"/>
    <mergeCell ref="B80:D80"/>
    <mergeCell ref="B81:D81"/>
    <mergeCell ref="B82:D82"/>
    <mergeCell ref="B83:D83"/>
    <mergeCell ref="A84:A85"/>
    <mergeCell ref="B84:D85"/>
    <mergeCell ref="B74:D74"/>
    <mergeCell ref="B75:D75"/>
    <mergeCell ref="B76:D76"/>
    <mergeCell ref="B77:D77"/>
    <mergeCell ref="B78:D78"/>
    <mergeCell ref="B79:D79"/>
    <mergeCell ref="B90:D90"/>
    <mergeCell ref="B91:D91"/>
    <mergeCell ref="B92:D92"/>
    <mergeCell ref="B93:D93"/>
    <mergeCell ref="B94:D94"/>
    <mergeCell ref="B95:D95"/>
    <mergeCell ref="O84:O85"/>
    <mergeCell ref="P84:P85"/>
    <mergeCell ref="B86:D86"/>
    <mergeCell ref="B87:D87"/>
    <mergeCell ref="B88:D88"/>
    <mergeCell ref="B89:D89"/>
    <mergeCell ref="E84:E85"/>
    <mergeCell ref="F84:F85"/>
    <mergeCell ref="G84:K84"/>
    <mergeCell ref="L84:L85"/>
    <mergeCell ref="M84:M85"/>
    <mergeCell ref="N84:N85"/>
    <mergeCell ref="B102:D102"/>
    <mergeCell ref="B103:D103"/>
    <mergeCell ref="B104:D104"/>
    <mergeCell ref="B105:D105"/>
    <mergeCell ref="B106:D106"/>
    <mergeCell ref="B107:D107"/>
    <mergeCell ref="B96:D96"/>
    <mergeCell ref="B97:D97"/>
    <mergeCell ref="B98:D98"/>
    <mergeCell ref="B99:D99"/>
    <mergeCell ref="B100:D100"/>
    <mergeCell ref="B101:D101"/>
    <mergeCell ref="B114:D114"/>
    <mergeCell ref="B115:D115"/>
    <mergeCell ref="B116:D116"/>
    <mergeCell ref="B117:D117"/>
    <mergeCell ref="B118:D118"/>
    <mergeCell ref="B119:D119"/>
    <mergeCell ref="B108:D108"/>
    <mergeCell ref="B109:D109"/>
    <mergeCell ref="B110:D110"/>
    <mergeCell ref="B111:D111"/>
    <mergeCell ref="B112:D112"/>
    <mergeCell ref="B113:D113"/>
    <mergeCell ref="B124:D124"/>
    <mergeCell ref="B125:D125"/>
    <mergeCell ref="B126:D126"/>
    <mergeCell ref="B127:D127"/>
    <mergeCell ref="B128:D128"/>
    <mergeCell ref="B129:D129"/>
    <mergeCell ref="B120:P121"/>
    <mergeCell ref="B122:D123"/>
    <mergeCell ref="E122:E123"/>
    <mergeCell ref="F122:F123"/>
    <mergeCell ref="G122:K122"/>
    <mergeCell ref="L122:L123"/>
    <mergeCell ref="M122:M123"/>
    <mergeCell ref="N122:N123"/>
    <mergeCell ref="O122:O123"/>
    <mergeCell ref="P122:P123"/>
    <mergeCell ref="B136:D136"/>
    <mergeCell ref="B137:D137"/>
    <mergeCell ref="B138:D138"/>
    <mergeCell ref="B139:D139"/>
    <mergeCell ref="B140:D140"/>
    <mergeCell ref="B141:E141"/>
    <mergeCell ref="B130:D130"/>
    <mergeCell ref="B131:D131"/>
    <mergeCell ref="B132:D132"/>
    <mergeCell ref="B133:D133"/>
    <mergeCell ref="B134:D134"/>
    <mergeCell ref="B135:D135"/>
    <mergeCell ref="B146:E146"/>
    <mergeCell ref="F146:N146"/>
    <mergeCell ref="O146:P146"/>
    <mergeCell ref="B147:E147"/>
    <mergeCell ref="F147:N147"/>
    <mergeCell ref="O147:P147"/>
    <mergeCell ref="I141:J141"/>
    <mergeCell ref="B142:E142"/>
    <mergeCell ref="I142:J142"/>
    <mergeCell ref="B143:E143"/>
    <mergeCell ref="I143:J143"/>
    <mergeCell ref="B144:E144"/>
    <mergeCell ref="F144:O144"/>
  </mergeCells>
  <printOptions/>
  <pageMargins left="0.03937007874015748" right="0.03937007874015748" top="0.07874015748031496" bottom="0.07874015748031496" header="0.11811023622047245" footer="0.11811023622047245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7"/>
  <sheetViews>
    <sheetView zoomScalePageLayoutView="0" workbookViewId="0" topLeftCell="A120">
      <selection activeCell="R154" sqref="R154"/>
    </sheetView>
  </sheetViews>
  <sheetFormatPr defaultColWidth="9.140625" defaultRowHeight="15"/>
  <cols>
    <col min="1" max="1" width="3.28125" style="2" customWidth="1"/>
    <col min="2" max="3" width="9.140625" style="2" customWidth="1"/>
    <col min="4" max="4" width="5.421875" style="2" customWidth="1"/>
    <col min="5" max="7" width="12.7109375" style="2" customWidth="1"/>
    <col min="8" max="8" width="11.140625" style="2" customWidth="1"/>
    <col min="9" max="9" width="8.00390625" style="2" customWidth="1"/>
    <col min="10" max="10" width="11.00390625" style="2" customWidth="1"/>
    <col min="11" max="11" width="13.00390625" style="2" customWidth="1"/>
    <col min="12" max="12" width="12.8515625" style="2" customWidth="1"/>
    <col min="13" max="13" width="11.7109375" style="2" customWidth="1"/>
    <col min="14" max="14" width="12.57421875" style="2" customWidth="1"/>
    <col min="15" max="15" width="8.421875" style="2" customWidth="1"/>
    <col min="16" max="17" width="9.140625" style="2" customWidth="1"/>
    <col min="18" max="18" width="11.7109375" style="2" customWidth="1"/>
    <col min="19" max="19" width="11.140625" style="2" bestFit="1" customWidth="1"/>
    <col min="20" max="16384" width="9.140625" style="2" customWidth="1"/>
  </cols>
  <sheetData>
    <row r="1" spans="1:16" ht="15">
      <c r="A1" s="1"/>
      <c r="B1" s="318" t="s">
        <v>0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</row>
    <row r="2" spans="1:16" ht="15">
      <c r="A2" s="1"/>
      <c r="B2" s="319" t="s">
        <v>212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</row>
    <row r="3" spans="1:16" ht="15.75" thickBot="1">
      <c r="A3" s="1"/>
      <c r="B3" s="320" t="s">
        <v>1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</row>
    <row r="4" spans="1:16" ht="15.75" thickBot="1">
      <c r="A4" s="1"/>
      <c r="B4" s="321" t="s">
        <v>2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</row>
    <row r="5" spans="1:16" ht="15.75" thickBot="1">
      <c r="A5" s="3"/>
      <c r="B5" s="322" t="s">
        <v>209</v>
      </c>
      <c r="C5" s="323"/>
      <c r="D5" s="323"/>
      <c r="E5" s="324"/>
      <c r="F5" s="325"/>
      <c r="G5" s="325"/>
      <c r="H5" s="325"/>
      <c r="I5" s="325"/>
      <c r="J5" s="325"/>
      <c r="K5" s="325"/>
      <c r="L5" s="325"/>
      <c r="M5" s="325"/>
      <c r="N5" s="325"/>
      <c r="O5" s="326"/>
      <c r="P5" s="4">
        <v>9380.24</v>
      </c>
    </row>
    <row r="6" spans="1:16" ht="19.5" customHeight="1" thickBot="1">
      <c r="A6" s="3"/>
      <c r="B6" s="322" t="s">
        <v>213</v>
      </c>
      <c r="C6" s="323"/>
      <c r="D6" s="323"/>
      <c r="E6" s="324"/>
      <c r="F6" s="325"/>
      <c r="G6" s="325"/>
      <c r="H6" s="325"/>
      <c r="I6" s="325"/>
      <c r="J6" s="325"/>
      <c r="K6" s="325"/>
      <c r="L6" s="325"/>
      <c r="M6" s="325"/>
      <c r="N6" s="325"/>
      <c r="O6" s="326"/>
      <c r="P6" s="138">
        <f>P10</f>
        <v>736681.3099999999</v>
      </c>
    </row>
    <row r="7" spans="1:16" ht="15.75" thickBot="1">
      <c r="A7" s="3"/>
      <c r="B7" s="332"/>
      <c r="C7" s="333"/>
      <c r="D7" s="333"/>
      <c r="E7" s="334"/>
      <c r="F7" s="335"/>
      <c r="G7" s="335"/>
      <c r="H7" s="335"/>
      <c r="I7" s="335"/>
      <c r="J7" s="335"/>
      <c r="K7" s="335"/>
      <c r="L7" s="335"/>
      <c r="M7" s="335"/>
      <c r="N7" s="336"/>
      <c r="O7" s="336"/>
      <c r="P7" s="337"/>
    </row>
    <row r="8" spans="1:16" ht="75.75" thickBot="1">
      <c r="A8" s="6"/>
      <c r="B8" s="322" t="s">
        <v>3</v>
      </c>
      <c r="C8" s="323"/>
      <c r="D8" s="323"/>
      <c r="E8" s="324"/>
      <c r="F8" s="338" t="s">
        <v>4</v>
      </c>
      <c r="G8" s="339"/>
      <c r="H8" s="7" t="s">
        <v>5</v>
      </c>
      <c r="I8" s="338" t="s">
        <v>6</v>
      </c>
      <c r="J8" s="339"/>
      <c r="K8" s="8" t="s">
        <v>7</v>
      </c>
      <c r="L8" s="7" t="s">
        <v>8</v>
      </c>
      <c r="M8" s="135" t="s">
        <v>9</v>
      </c>
      <c r="N8" s="141" t="s">
        <v>10</v>
      </c>
      <c r="O8" s="11" t="s">
        <v>11</v>
      </c>
      <c r="P8" s="12"/>
    </row>
    <row r="9" spans="1:16" ht="23.25" customHeight="1" thickBot="1">
      <c r="A9" s="3"/>
      <c r="B9" s="327" t="s">
        <v>12</v>
      </c>
      <c r="C9" s="328"/>
      <c r="D9" s="328"/>
      <c r="E9" s="329"/>
      <c r="F9" s="330">
        <v>0</v>
      </c>
      <c r="G9" s="331"/>
      <c r="H9" s="4">
        <v>0</v>
      </c>
      <c r="I9" s="330">
        <v>0</v>
      </c>
      <c r="J9" s="331"/>
      <c r="K9" s="13">
        <v>0</v>
      </c>
      <c r="L9" s="4">
        <v>0</v>
      </c>
      <c r="M9" s="137">
        <v>0</v>
      </c>
      <c r="N9" s="4">
        <v>0</v>
      </c>
      <c r="O9" s="15">
        <v>0</v>
      </c>
      <c r="P9" s="138">
        <v>0</v>
      </c>
    </row>
    <row r="10" spans="1:16" ht="24.75" customHeight="1" thickBot="1">
      <c r="A10" s="3"/>
      <c r="B10" s="327" t="s">
        <v>13</v>
      </c>
      <c r="C10" s="328"/>
      <c r="D10" s="328"/>
      <c r="E10" s="329"/>
      <c r="F10" s="330">
        <v>-24294.18</v>
      </c>
      <c r="G10" s="331"/>
      <c r="H10" s="4">
        <v>414593.4</v>
      </c>
      <c r="I10" s="330">
        <v>0</v>
      </c>
      <c r="J10" s="331"/>
      <c r="K10" s="13">
        <v>0</v>
      </c>
      <c r="L10" s="4">
        <v>314325</v>
      </c>
      <c r="M10" s="137">
        <v>0</v>
      </c>
      <c r="N10" s="4">
        <v>0</v>
      </c>
      <c r="O10" s="4">
        <v>32057.09</v>
      </c>
      <c r="P10" s="138">
        <f>SUM(F10:O10)</f>
        <v>736681.3099999999</v>
      </c>
    </row>
    <row r="11" spans="1:16" ht="15.75" thickBot="1">
      <c r="A11" s="145"/>
      <c r="B11" s="360"/>
      <c r="C11" s="361"/>
      <c r="D11" s="361"/>
      <c r="E11" s="361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3"/>
    </row>
    <row r="12" spans="1:16" ht="15">
      <c r="A12" s="346"/>
      <c r="B12" s="364" t="s">
        <v>14</v>
      </c>
      <c r="C12" s="365"/>
      <c r="D12" s="365"/>
      <c r="E12" s="366"/>
      <c r="F12" s="340"/>
      <c r="G12" s="370" t="s">
        <v>15</v>
      </c>
      <c r="H12" s="362"/>
      <c r="I12" s="362"/>
      <c r="J12" s="362"/>
      <c r="K12" s="363"/>
      <c r="L12" s="340" t="s">
        <v>16</v>
      </c>
      <c r="M12" s="340" t="s">
        <v>17</v>
      </c>
      <c r="N12" s="340" t="s">
        <v>18</v>
      </c>
      <c r="O12" s="340" t="s">
        <v>19</v>
      </c>
      <c r="P12" s="340" t="s">
        <v>20</v>
      </c>
    </row>
    <row r="13" spans="1:16" ht="44.25" customHeight="1" thickBot="1">
      <c r="A13" s="347"/>
      <c r="B13" s="367"/>
      <c r="C13" s="368"/>
      <c r="D13" s="368"/>
      <c r="E13" s="369"/>
      <c r="F13" s="341"/>
      <c r="G13" s="371"/>
      <c r="H13" s="372"/>
      <c r="I13" s="372"/>
      <c r="J13" s="372"/>
      <c r="K13" s="373"/>
      <c r="L13" s="341"/>
      <c r="M13" s="341"/>
      <c r="N13" s="341"/>
      <c r="O13" s="341"/>
      <c r="P13" s="341"/>
    </row>
    <row r="14" spans="1:16" ht="15.75" thickBot="1">
      <c r="A14" s="3"/>
      <c r="B14" s="342" t="s">
        <v>21</v>
      </c>
      <c r="C14" s="343"/>
      <c r="D14" s="344"/>
      <c r="E14" s="17" t="s">
        <v>22</v>
      </c>
      <c r="F14" s="142">
        <v>3</v>
      </c>
      <c r="G14" s="345">
        <v>4</v>
      </c>
      <c r="H14" s="335"/>
      <c r="I14" s="335"/>
      <c r="J14" s="337"/>
      <c r="K14" s="19">
        <v>5</v>
      </c>
      <c r="L14" s="140">
        <v>6</v>
      </c>
      <c r="M14" s="7">
        <v>7</v>
      </c>
      <c r="N14" s="140">
        <v>8</v>
      </c>
      <c r="O14" s="140">
        <v>9</v>
      </c>
      <c r="P14" s="7">
        <v>10</v>
      </c>
    </row>
    <row r="15" spans="1:16" ht="32.25" customHeight="1" thickBot="1">
      <c r="A15" s="346"/>
      <c r="B15" s="348" t="s">
        <v>23</v>
      </c>
      <c r="C15" s="349"/>
      <c r="D15" s="350"/>
      <c r="E15" s="21" t="s">
        <v>24</v>
      </c>
      <c r="F15" s="21" t="s">
        <v>25</v>
      </c>
      <c r="G15" s="354" t="s">
        <v>26</v>
      </c>
      <c r="H15" s="355"/>
      <c r="I15" s="355"/>
      <c r="J15" s="356"/>
      <c r="K15" s="22" t="s">
        <v>27</v>
      </c>
      <c r="L15" s="23" t="s">
        <v>26</v>
      </c>
      <c r="M15" s="24" t="s">
        <v>28</v>
      </c>
      <c r="N15" s="24" t="s">
        <v>26</v>
      </c>
      <c r="O15" s="24" t="s">
        <v>26</v>
      </c>
      <c r="P15" s="25" t="s">
        <v>26</v>
      </c>
    </row>
    <row r="16" spans="1:16" ht="25.5" customHeight="1" thickBot="1">
      <c r="A16" s="347"/>
      <c r="B16" s="351"/>
      <c r="C16" s="352"/>
      <c r="D16" s="353"/>
      <c r="E16" s="26">
        <f>SUM(E17:E23)</f>
        <v>1650861</v>
      </c>
      <c r="F16" s="27">
        <f>SUM(F17:F23)</f>
        <v>3434922</v>
      </c>
      <c r="G16" s="357">
        <f>G17+G18+G19+G20+G21+G22+G23</f>
        <v>2015076.7000000002</v>
      </c>
      <c r="H16" s="358"/>
      <c r="I16" s="358"/>
      <c r="J16" s="359"/>
      <c r="K16" s="147">
        <f>SUM(K17:K23)</f>
        <v>2015076.7000000002</v>
      </c>
      <c r="L16" s="147">
        <f>SUM(L17:L23)</f>
        <v>3151566.1</v>
      </c>
      <c r="M16" s="147">
        <f>SUM(M17:M23)</f>
        <v>-364215.70000000007</v>
      </c>
      <c r="N16" s="147">
        <f>SUM(N17:N23)</f>
        <v>283355.8999999999</v>
      </c>
      <c r="O16" s="29">
        <v>0</v>
      </c>
      <c r="P16" s="29">
        <v>0</v>
      </c>
    </row>
    <row r="17" spans="1:18" ht="45.75" customHeight="1" thickBot="1">
      <c r="A17" s="30" t="s">
        <v>29</v>
      </c>
      <c r="B17" s="383" t="s">
        <v>30</v>
      </c>
      <c r="C17" s="384"/>
      <c r="D17" s="385"/>
      <c r="E17" s="154">
        <v>1226768</v>
      </c>
      <c r="F17" s="31">
        <f>1359967+E17</f>
        <v>2586735</v>
      </c>
      <c r="G17" s="377">
        <v>1447630.3</v>
      </c>
      <c r="H17" s="378"/>
      <c r="I17" s="378"/>
      <c r="J17" s="379"/>
      <c r="K17" s="144">
        <f>G17</f>
        <v>1447630.3</v>
      </c>
      <c r="L17" s="33">
        <f>616000+K17</f>
        <v>2063630.3</v>
      </c>
      <c r="M17" s="34">
        <f>E17-K17</f>
        <v>-220862.30000000005</v>
      </c>
      <c r="N17" s="35">
        <f>F17-L17</f>
        <v>523104.69999999995</v>
      </c>
      <c r="O17" s="36">
        <v>0</v>
      </c>
      <c r="P17" s="36">
        <v>0</v>
      </c>
      <c r="Q17" s="1"/>
      <c r="R17" s="37">
        <v>365352.1499999948</v>
      </c>
    </row>
    <row r="18" spans="1:18" ht="39" customHeight="1" thickBot="1">
      <c r="A18" s="38" t="s">
        <v>31</v>
      </c>
      <c r="B18" s="386" t="s">
        <v>32</v>
      </c>
      <c r="C18" s="387"/>
      <c r="D18" s="388"/>
      <c r="E18" s="148">
        <v>414593</v>
      </c>
      <c r="F18" s="31">
        <f>414594+E18</f>
        <v>829187</v>
      </c>
      <c r="G18" s="377">
        <v>414593.4</v>
      </c>
      <c r="H18" s="378"/>
      <c r="I18" s="378"/>
      <c r="J18" s="379"/>
      <c r="K18" s="144">
        <f>G18</f>
        <v>414593.4</v>
      </c>
      <c r="L18" s="33">
        <f>414593.4+K18</f>
        <v>829186.8</v>
      </c>
      <c r="M18" s="34">
        <f>E18-K18</f>
        <v>-0.40000000002328306</v>
      </c>
      <c r="N18" s="35">
        <f>F18-L18</f>
        <v>0.19999999995343387</v>
      </c>
      <c r="O18" s="36">
        <v>0</v>
      </c>
      <c r="P18" s="36">
        <v>0</v>
      </c>
      <c r="Q18" s="1"/>
      <c r="R18" s="1"/>
    </row>
    <row r="19" spans="1:18" ht="35.25" customHeight="1" thickBot="1">
      <c r="A19" s="38" t="s">
        <v>33</v>
      </c>
      <c r="B19" s="389" t="s">
        <v>34</v>
      </c>
      <c r="C19" s="390"/>
      <c r="D19" s="391"/>
      <c r="E19" s="39"/>
      <c r="F19" s="31">
        <f>0+E19</f>
        <v>0</v>
      </c>
      <c r="G19" s="377"/>
      <c r="H19" s="378"/>
      <c r="I19" s="378"/>
      <c r="J19" s="379"/>
      <c r="K19" s="144">
        <f>G19</f>
        <v>0</v>
      </c>
      <c r="L19" s="33">
        <f>0+K19</f>
        <v>0</v>
      </c>
      <c r="M19" s="34">
        <f aca="true" t="shared" si="0" ref="M19:N23">E19-K19</f>
        <v>0</v>
      </c>
      <c r="N19" s="35">
        <f t="shared" si="0"/>
        <v>0</v>
      </c>
      <c r="O19" s="36">
        <v>0</v>
      </c>
      <c r="P19" s="40">
        <v>0</v>
      </c>
      <c r="Q19" s="1"/>
      <c r="R19" s="1"/>
    </row>
    <row r="20" spans="1:18" ht="55.5" customHeight="1" thickBot="1">
      <c r="A20" s="41" t="s">
        <v>35</v>
      </c>
      <c r="B20" s="374" t="s">
        <v>36</v>
      </c>
      <c r="C20" s="375"/>
      <c r="D20" s="376"/>
      <c r="E20" s="42"/>
      <c r="F20" s="31">
        <f>0+E20</f>
        <v>0</v>
      </c>
      <c r="G20" s="377"/>
      <c r="H20" s="378"/>
      <c r="I20" s="378"/>
      <c r="J20" s="379"/>
      <c r="K20" s="144">
        <f>G20</f>
        <v>0</v>
      </c>
      <c r="L20" s="33">
        <f>0+K20</f>
        <v>0</v>
      </c>
      <c r="M20" s="34">
        <f t="shared" si="0"/>
        <v>0</v>
      </c>
      <c r="N20" s="35">
        <f t="shared" si="0"/>
        <v>0</v>
      </c>
      <c r="O20" s="36">
        <v>0</v>
      </c>
      <c r="P20" s="36">
        <v>0</v>
      </c>
      <c r="Q20" s="37"/>
      <c r="R20" s="37"/>
    </row>
    <row r="21" spans="1:18" ht="33" customHeight="1" thickBot="1">
      <c r="A21" s="43" t="s">
        <v>37</v>
      </c>
      <c r="B21" s="380" t="s">
        <v>38</v>
      </c>
      <c r="C21" s="381"/>
      <c r="D21" s="382"/>
      <c r="E21" s="44"/>
      <c r="F21" s="31">
        <f>0+E21</f>
        <v>0</v>
      </c>
      <c r="G21" s="377"/>
      <c r="H21" s="378"/>
      <c r="I21" s="378"/>
      <c r="J21" s="379"/>
      <c r="K21" s="144">
        <f>G21</f>
        <v>0</v>
      </c>
      <c r="L21" s="33">
        <f>0+K21</f>
        <v>0</v>
      </c>
      <c r="M21" s="34">
        <f t="shared" si="0"/>
        <v>0</v>
      </c>
      <c r="N21" s="35">
        <f t="shared" si="0"/>
        <v>0</v>
      </c>
      <c r="O21" s="36">
        <v>0</v>
      </c>
      <c r="P21" s="36">
        <v>0</v>
      </c>
      <c r="Q21" s="37"/>
      <c r="R21" s="1"/>
    </row>
    <row r="22" spans="1:18" ht="33.75" customHeight="1" thickBot="1">
      <c r="A22" s="43" t="s">
        <v>39</v>
      </c>
      <c r="B22" s="383" t="s">
        <v>40</v>
      </c>
      <c r="C22" s="384"/>
      <c r="D22" s="385"/>
      <c r="E22" s="149">
        <v>9500</v>
      </c>
      <c r="F22" s="31">
        <f>9500+E22</f>
        <v>19000</v>
      </c>
      <c r="G22" s="377">
        <v>17185.36</v>
      </c>
      <c r="H22" s="378"/>
      <c r="I22" s="378"/>
      <c r="J22" s="379"/>
      <c r="K22" s="144">
        <f>G22</f>
        <v>17185.36</v>
      </c>
      <c r="L22" s="33">
        <f>810+K22</f>
        <v>17995.36</v>
      </c>
      <c r="M22" s="34">
        <f>E22-K22</f>
        <v>-7685.360000000001</v>
      </c>
      <c r="N22" s="35">
        <f t="shared" si="0"/>
        <v>1004.6399999999994</v>
      </c>
      <c r="O22" s="36">
        <v>0</v>
      </c>
      <c r="P22" s="36">
        <v>0</v>
      </c>
      <c r="Q22" s="1"/>
      <c r="R22" s="1"/>
    </row>
    <row r="23" spans="1:18" ht="32.25" customHeight="1" thickBot="1">
      <c r="A23" s="43" t="s">
        <v>41</v>
      </c>
      <c r="B23" s="392" t="s">
        <v>42</v>
      </c>
      <c r="C23" s="393"/>
      <c r="D23" s="394"/>
      <c r="E23" s="46"/>
      <c r="F23" s="31"/>
      <c r="G23" s="377">
        <v>135667.64</v>
      </c>
      <c r="H23" s="378"/>
      <c r="I23" s="378"/>
      <c r="J23" s="379"/>
      <c r="K23" s="144">
        <f>G23</f>
        <v>135667.64</v>
      </c>
      <c r="L23" s="33">
        <f>105086+K23</f>
        <v>240753.64</v>
      </c>
      <c r="M23" s="34">
        <f t="shared" si="0"/>
        <v>-135667.64</v>
      </c>
      <c r="N23" s="35">
        <f t="shared" si="0"/>
        <v>-240753.64</v>
      </c>
      <c r="O23" s="36">
        <v>0</v>
      </c>
      <c r="P23" s="36">
        <v>0</v>
      </c>
      <c r="Q23" s="1"/>
      <c r="R23" s="1"/>
    </row>
    <row r="24" spans="1:18" ht="15">
      <c r="A24" s="346"/>
      <c r="B24" s="395" t="s">
        <v>43</v>
      </c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7"/>
      <c r="Q24" s="1"/>
      <c r="R24" s="1"/>
    </row>
    <row r="25" spans="1:18" ht="15.75" thickBot="1">
      <c r="A25" s="347"/>
      <c r="B25" s="398"/>
      <c r="C25" s="399"/>
      <c r="D25" s="399"/>
      <c r="E25" s="399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400"/>
      <c r="Q25" s="1"/>
      <c r="R25" s="1"/>
    </row>
    <row r="26" spans="1:18" ht="15.75" thickBot="1">
      <c r="A26" s="346"/>
      <c r="B26" s="364" t="s">
        <v>14</v>
      </c>
      <c r="C26" s="365"/>
      <c r="D26" s="366"/>
      <c r="E26" s="401" t="s">
        <v>24</v>
      </c>
      <c r="F26" s="403" t="s">
        <v>25</v>
      </c>
      <c r="G26" s="338" t="s">
        <v>44</v>
      </c>
      <c r="H26" s="321"/>
      <c r="I26" s="321"/>
      <c r="J26" s="321"/>
      <c r="K26" s="339"/>
      <c r="L26" s="340" t="s">
        <v>16</v>
      </c>
      <c r="M26" s="340" t="s">
        <v>17</v>
      </c>
      <c r="N26" s="340" t="s">
        <v>18</v>
      </c>
      <c r="O26" s="340" t="s">
        <v>19</v>
      </c>
      <c r="P26" s="340" t="s">
        <v>20</v>
      </c>
      <c r="Q26" s="1"/>
      <c r="R26" s="1"/>
    </row>
    <row r="27" spans="1:18" ht="87" customHeight="1" thickBot="1">
      <c r="A27" s="347"/>
      <c r="B27" s="367"/>
      <c r="C27" s="368"/>
      <c r="D27" s="369"/>
      <c r="E27" s="402"/>
      <c r="F27" s="404"/>
      <c r="G27" s="143" t="s">
        <v>45</v>
      </c>
      <c r="H27" s="143" t="s">
        <v>46</v>
      </c>
      <c r="I27" s="143" t="s">
        <v>47</v>
      </c>
      <c r="J27" s="7" t="s">
        <v>48</v>
      </c>
      <c r="K27" s="8" t="s">
        <v>27</v>
      </c>
      <c r="L27" s="341"/>
      <c r="M27" s="341"/>
      <c r="N27" s="341"/>
      <c r="O27" s="341"/>
      <c r="P27" s="341"/>
      <c r="Q27" s="1"/>
      <c r="R27" s="37"/>
    </row>
    <row r="28" spans="1:18" ht="15.75" thickBot="1">
      <c r="A28" s="3"/>
      <c r="B28" s="342">
        <v>1</v>
      </c>
      <c r="C28" s="343"/>
      <c r="D28" s="344"/>
      <c r="E28" s="17" t="s">
        <v>22</v>
      </c>
      <c r="F28" s="143">
        <v>3</v>
      </c>
      <c r="G28" s="143">
        <v>4</v>
      </c>
      <c r="H28" s="143">
        <v>5</v>
      </c>
      <c r="I28" s="7">
        <v>6</v>
      </c>
      <c r="J28" s="7">
        <v>7</v>
      </c>
      <c r="K28" s="48">
        <v>8</v>
      </c>
      <c r="L28" s="140">
        <v>9</v>
      </c>
      <c r="M28" s="7">
        <v>10</v>
      </c>
      <c r="N28" s="140">
        <v>11</v>
      </c>
      <c r="O28" s="7">
        <v>12</v>
      </c>
      <c r="P28" s="140">
        <v>13</v>
      </c>
      <c r="Q28" s="1"/>
      <c r="R28" s="1"/>
    </row>
    <row r="29" spans="1:18" ht="15.75" thickBot="1">
      <c r="A29" s="3"/>
      <c r="B29" s="345" t="s">
        <v>23</v>
      </c>
      <c r="C29" s="335"/>
      <c r="D29" s="337"/>
      <c r="E29" s="49">
        <f>E30+E34+E38+E44+E51+E54+E64+E67+E71+E74+E78+E80+E88+E101+E132+E135+E138+E141</f>
        <v>1650861</v>
      </c>
      <c r="F29" s="49">
        <f>F30+F34+F38+F44+F51+F54+F64+F67+F71+F74+F78+F80+F88+F101+F132+F135+F138+F141</f>
        <v>3437126</v>
      </c>
      <c r="G29" s="49">
        <f>G30+G34+G38+G44+G51+G54+G64+G67+G71+G74+G78+G80+G88+G101+G132+G135+G138+G141</f>
        <v>1122327.96</v>
      </c>
      <c r="H29" s="49">
        <f>H30+H34+H38+H44+H51+H54+H64+H67+H71+H74+H78+H80+H88+H101+H132+H135+H138+H141</f>
        <v>411661.04000000004</v>
      </c>
      <c r="I29" s="49">
        <f>I30+I34+I38+I44+I51+I54+I64+I67+I71+I74+I78+I80+I88+I101+I132+I135+I138+I141</f>
        <v>0</v>
      </c>
      <c r="J29" s="49">
        <f>J30+J34+J38+J44+J51+J54+J64+J67+J71+J74+J78+J80+J88+J101+J132+J135+J138+J141</f>
        <v>267751.67</v>
      </c>
      <c r="K29" s="49">
        <f>K30+K34+K38+K44+K51+K54+K64+K67+K71+K74+K78+K80+K88+K101+K132+K135+K138+K141</f>
        <v>1801740.67</v>
      </c>
      <c r="L29" s="49">
        <f>L30+L34+L38+L44+L51+L54+L64+L67+L71+L74+L78+L80+L88+L101+L132+L135+L138+L141</f>
        <v>2210929.0000000005</v>
      </c>
      <c r="M29" s="49">
        <f>M30+M34+M38+M44+M51+M54+M64+M67+M71+M74+M78+M80+M88+M101+M132+M135+M138+M141</f>
        <v>-150879.67000000004</v>
      </c>
      <c r="N29" s="49">
        <f>N30+N34+N38+N44+N51+N54+N64+N67+N71+N74+N78+N80+N88+N101+N132+N135+N138+N141</f>
        <v>1226197</v>
      </c>
      <c r="O29" s="50">
        <v>0</v>
      </c>
      <c r="P29" s="50">
        <v>0</v>
      </c>
      <c r="Q29" s="1"/>
      <c r="R29" s="37"/>
    </row>
    <row r="30" spans="1:18" ht="21" customHeight="1" thickBot="1">
      <c r="A30" s="51" t="s">
        <v>21</v>
      </c>
      <c r="B30" s="417" t="s">
        <v>49</v>
      </c>
      <c r="C30" s="418"/>
      <c r="D30" s="419"/>
      <c r="E30" s="52">
        <f>SUM(E31:E32)</f>
        <v>776802</v>
      </c>
      <c r="F30" s="53">
        <f>F31+F32+F33</f>
        <v>1553604</v>
      </c>
      <c r="G30" s="54">
        <f>G31+G32+G33</f>
        <v>458625.65</v>
      </c>
      <c r="H30" s="54">
        <f>H31</f>
        <v>341987.64</v>
      </c>
      <c r="I30" s="54"/>
      <c r="J30" s="54"/>
      <c r="K30" s="53">
        <f>G30+H30</f>
        <v>800613.29</v>
      </c>
      <c r="L30" s="55">
        <f>L31+L32</f>
        <v>993116.87</v>
      </c>
      <c r="M30" s="56">
        <f>E30-K30</f>
        <v>-23811.290000000037</v>
      </c>
      <c r="N30" s="57">
        <f>F30-L30</f>
        <v>560487.13</v>
      </c>
      <c r="O30" s="58">
        <v>0</v>
      </c>
      <c r="P30" s="59">
        <v>0</v>
      </c>
      <c r="Q30" s="37"/>
      <c r="R30" s="37"/>
    </row>
    <row r="31" spans="1:18" ht="15.75" thickBot="1">
      <c r="A31" s="60" t="s">
        <v>50</v>
      </c>
      <c r="B31" s="411" t="s">
        <v>51</v>
      </c>
      <c r="C31" s="412"/>
      <c r="D31" s="413"/>
      <c r="E31" s="150">
        <v>344920</v>
      </c>
      <c r="F31" s="31">
        <f>344920+E31</f>
        <v>689840</v>
      </c>
      <c r="G31" s="62"/>
      <c r="H31" s="62">
        <v>341987.64</v>
      </c>
      <c r="I31" s="62"/>
      <c r="J31" s="62"/>
      <c r="K31" s="45">
        <f>H31</f>
        <v>341987.64</v>
      </c>
      <c r="L31" s="33">
        <f>0+K31</f>
        <v>341987.64</v>
      </c>
      <c r="M31" s="34">
        <f>E31-K31</f>
        <v>2932.359999999986</v>
      </c>
      <c r="N31" s="63">
        <f>F31-L31</f>
        <v>347852.36</v>
      </c>
      <c r="O31" s="64">
        <v>0</v>
      </c>
      <c r="P31" s="65">
        <v>0</v>
      </c>
      <c r="Q31" s="37"/>
      <c r="R31" s="37"/>
    </row>
    <row r="32" spans="1:18" ht="15.75" thickBot="1">
      <c r="A32" s="60" t="s">
        <v>52</v>
      </c>
      <c r="B32" s="405" t="s">
        <v>53</v>
      </c>
      <c r="C32" s="406"/>
      <c r="D32" s="407"/>
      <c r="E32" s="150">
        <v>431882</v>
      </c>
      <c r="F32" s="31">
        <f>431882+E32</f>
        <v>863764</v>
      </c>
      <c r="G32" s="62">
        <v>458625.65</v>
      </c>
      <c r="H32" s="62"/>
      <c r="I32" s="62"/>
      <c r="J32" s="62"/>
      <c r="K32" s="33">
        <f>0+G32</f>
        <v>458625.65</v>
      </c>
      <c r="L32" s="33">
        <f>192503.58+K32</f>
        <v>651129.23</v>
      </c>
      <c r="M32" s="34">
        <f>E32-K32</f>
        <v>-26743.650000000023</v>
      </c>
      <c r="N32" s="63">
        <f>F32-L32</f>
        <v>212634.77000000002</v>
      </c>
      <c r="O32" s="64">
        <v>0</v>
      </c>
      <c r="P32" s="65">
        <v>0</v>
      </c>
      <c r="Q32" s="37"/>
      <c r="R32" s="37"/>
    </row>
    <row r="33" spans="1:18" ht="15.75" thickBot="1">
      <c r="A33" s="60" t="s">
        <v>54</v>
      </c>
      <c r="B33" s="405" t="s">
        <v>55</v>
      </c>
      <c r="C33" s="406"/>
      <c r="D33" s="407"/>
      <c r="E33" s="66"/>
      <c r="F33" s="33"/>
      <c r="G33" s="62"/>
      <c r="H33" s="62"/>
      <c r="I33" s="62"/>
      <c r="J33" s="62"/>
      <c r="K33" s="45"/>
      <c r="L33" s="33"/>
      <c r="M33" s="67"/>
      <c r="N33" s="68"/>
      <c r="O33" s="64"/>
      <c r="P33" s="65"/>
      <c r="Q33" s="37"/>
      <c r="R33" s="37"/>
    </row>
    <row r="34" spans="1:18" ht="31.5" customHeight="1" thickBot="1">
      <c r="A34" s="69" t="s">
        <v>22</v>
      </c>
      <c r="B34" s="408" t="s">
        <v>56</v>
      </c>
      <c r="C34" s="409"/>
      <c r="D34" s="410"/>
      <c r="E34" s="53">
        <f>SUM(E35:E37)</f>
        <v>156914</v>
      </c>
      <c r="F34" s="53">
        <f>F35+F36+F37</f>
        <v>313828</v>
      </c>
      <c r="G34" s="54">
        <f>G35+G36+G37</f>
        <v>92479.98</v>
      </c>
      <c r="H34" s="54">
        <f>H35</f>
        <v>69673.4</v>
      </c>
      <c r="I34" s="54"/>
      <c r="J34" s="54"/>
      <c r="K34" s="53">
        <f>G34+H34</f>
        <v>162153.38</v>
      </c>
      <c r="L34" s="55">
        <f>L35+L36</f>
        <v>185153.38</v>
      </c>
      <c r="M34" s="56">
        <f aca="true" t="shared" si="1" ref="M34:N36">E34-K34</f>
        <v>-5239.380000000005</v>
      </c>
      <c r="N34" s="70">
        <f t="shared" si="1"/>
        <v>128674.62</v>
      </c>
      <c r="O34" s="58">
        <v>0</v>
      </c>
      <c r="P34" s="59">
        <v>0</v>
      </c>
      <c r="Q34" s="1"/>
      <c r="R34" s="1"/>
    </row>
    <row r="35" spans="1:18" ht="15.75" thickBot="1">
      <c r="A35" s="60" t="s">
        <v>57</v>
      </c>
      <c r="B35" s="411" t="s">
        <v>51</v>
      </c>
      <c r="C35" s="412"/>
      <c r="D35" s="413"/>
      <c r="E35" s="151">
        <v>69674</v>
      </c>
      <c r="F35" s="31">
        <f>69674+E35</f>
        <v>139348</v>
      </c>
      <c r="G35" s="62"/>
      <c r="H35" s="62">
        <v>69673.4</v>
      </c>
      <c r="I35" s="62"/>
      <c r="J35" s="62"/>
      <c r="K35" s="45">
        <f>H35</f>
        <v>69673.4</v>
      </c>
      <c r="L35" s="33">
        <f>0+K35</f>
        <v>69673.4</v>
      </c>
      <c r="M35" s="34">
        <f t="shared" si="1"/>
        <v>0.6000000000058208</v>
      </c>
      <c r="N35" s="63">
        <f t="shared" si="1"/>
        <v>69674.6</v>
      </c>
      <c r="O35" s="64">
        <v>0</v>
      </c>
      <c r="P35" s="65">
        <v>0</v>
      </c>
      <c r="Q35" s="1"/>
      <c r="R35" s="71"/>
    </row>
    <row r="36" spans="1:18" ht="15.75" thickBot="1">
      <c r="A36" s="60" t="s">
        <v>58</v>
      </c>
      <c r="B36" s="405" t="s">
        <v>53</v>
      </c>
      <c r="C36" s="406"/>
      <c r="D36" s="407"/>
      <c r="E36" s="151">
        <v>87240</v>
      </c>
      <c r="F36" s="31">
        <f>87240+E36</f>
        <v>174480</v>
      </c>
      <c r="G36" s="62">
        <v>92479.98</v>
      </c>
      <c r="H36" s="62"/>
      <c r="I36" s="62"/>
      <c r="J36" s="62"/>
      <c r="K36" s="45">
        <f>G36</f>
        <v>92479.98</v>
      </c>
      <c r="L36" s="33">
        <f>23000+K36</f>
        <v>115479.98</v>
      </c>
      <c r="M36" s="34">
        <f>E36-K36</f>
        <v>-5239.979999999996</v>
      </c>
      <c r="N36" s="63">
        <f t="shared" si="1"/>
        <v>59000.020000000004</v>
      </c>
      <c r="O36" s="64">
        <v>0</v>
      </c>
      <c r="P36" s="65">
        <v>0</v>
      </c>
      <c r="Q36" s="1"/>
      <c r="R36" s="1"/>
    </row>
    <row r="37" spans="1:18" ht="15.75" thickBot="1">
      <c r="A37" s="60" t="s">
        <v>59</v>
      </c>
      <c r="B37" s="405" t="s">
        <v>55</v>
      </c>
      <c r="C37" s="406"/>
      <c r="D37" s="407"/>
      <c r="E37" s="45"/>
      <c r="F37" s="31"/>
      <c r="G37" s="62"/>
      <c r="H37" s="62"/>
      <c r="I37" s="62"/>
      <c r="J37" s="62"/>
      <c r="K37" s="45"/>
      <c r="L37" s="33"/>
      <c r="M37" s="67"/>
      <c r="N37" s="72"/>
      <c r="O37" s="64"/>
      <c r="P37" s="65"/>
      <c r="Q37" s="1"/>
      <c r="R37" s="1"/>
    </row>
    <row r="38" spans="1:18" ht="29.25" customHeight="1" thickBot="1">
      <c r="A38" s="51" t="s">
        <v>60</v>
      </c>
      <c r="B38" s="408" t="s">
        <v>61</v>
      </c>
      <c r="C38" s="409"/>
      <c r="D38" s="410"/>
      <c r="E38" s="53">
        <f>SUM(E41:E43)</f>
        <v>5065</v>
      </c>
      <c r="F38" s="73">
        <f>F41+F42+F43</f>
        <v>13130</v>
      </c>
      <c r="G38" s="54">
        <f>G40</f>
        <v>4639.38</v>
      </c>
      <c r="H38" s="54"/>
      <c r="I38" s="54"/>
      <c r="J38" s="54"/>
      <c r="K38" s="55">
        <f>K39+K40</f>
        <v>4639.38</v>
      </c>
      <c r="L38" s="55">
        <f>L40+L39</f>
        <v>12525.09</v>
      </c>
      <c r="M38" s="56">
        <f>E38-K38</f>
        <v>425.6199999999999</v>
      </c>
      <c r="N38" s="57">
        <f>F38-L38</f>
        <v>604.9099999999999</v>
      </c>
      <c r="O38" s="58">
        <v>0</v>
      </c>
      <c r="P38" s="59">
        <v>0</v>
      </c>
      <c r="Q38" s="1"/>
      <c r="R38" s="1"/>
    </row>
    <row r="39" spans="1:18" ht="15.75" thickBot="1">
      <c r="A39" s="60" t="s">
        <v>62</v>
      </c>
      <c r="B39" s="411" t="s">
        <v>51</v>
      </c>
      <c r="C39" s="412"/>
      <c r="D39" s="413"/>
      <c r="E39" s="33"/>
      <c r="F39" s="31"/>
      <c r="G39" s="62"/>
      <c r="H39" s="62"/>
      <c r="I39" s="62"/>
      <c r="J39" s="62"/>
      <c r="K39" s="45"/>
      <c r="L39" s="33"/>
      <c r="M39" s="67"/>
      <c r="N39" s="72"/>
      <c r="O39" s="64"/>
      <c r="P39" s="65"/>
      <c r="Q39" s="1"/>
      <c r="R39" s="1"/>
    </row>
    <row r="40" spans="1:18" ht="15.75" thickBot="1">
      <c r="A40" s="60" t="s">
        <v>63</v>
      </c>
      <c r="B40" s="405" t="s">
        <v>53</v>
      </c>
      <c r="C40" s="406"/>
      <c r="D40" s="407"/>
      <c r="E40" s="45">
        <f>E41+E42+E43</f>
        <v>5065</v>
      </c>
      <c r="F40" s="31">
        <f>8065+E40</f>
        <v>13130</v>
      </c>
      <c r="G40" s="62">
        <f>G41+G42+G43</f>
        <v>4639.38</v>
      </c>
      <c r="H40" s="62"/>
      <c r="I40" s="62"/>
      <c r="J40" s="62"/>
      <c r="K40" s="33">
        <f>0+G40</f>
        <v>4639.38</v>
      </c>
      <c r="L40" s="33">
        <f>L41+L42+L43</f>
        <v>12525.09</v>
      </c>
      <c r="M40" s="34">
        <f aca="true" t="shared" si="2" ref="M40:N55">E40-K40</f>
        <v>425.6199999999999</v>
      </c>
      <c r="N40" s="63">
        <f t="shared" si="2"/>
        <v>604.9099999999999</v>
      </c>
      <c r="O40" s="64">
        <v>0</v>
      </c>
      <c r="P40" s="65">
        <v>0</v>
      </c>
      <c r="Q40" s="1"/>
      <c r="R40" s="1"/>
    </row>
    <row r="41" spans="1:18" ht="15.75" thickBot="1">
      <c r="A41" s="60" t="s">
        <v>64</v>
      </c>
      <c r="B41" s="414" t="s">
        <v>65</v>
      </c>
      <c r="C41" s="415"/>
      <c r="D41" s="416"/>
      <c r="E41" s="153">
        <v>2846</v>
      </c>
      <c r="F41" s="31">
        <f>2846+E41</f>
        <v>5692</v>
      </c>
      <c r="G41" s="62">
        <v>2420.38</v>
      </c>
      <c r="H41" s="62"/>
      <c r="I41" s="62"/>
      <c r="J41" s="62"/>
      <c r="K41" s="33">
        <f>0+G41</f>
        <v>2420.38</v>
      </c>
      <c r="L41" s="33">
        <f>3554.71+K41</f>
        <v>5975.09</v>
      </c>
      <c r="M41" s="34">
        <f t="shared" si="2"/>
        <v>425.6199999999999</v>
      </c>
      <c r="N41" s="63">
        <f t="shared" si="2"/>
        <v>-283.09000000000015</v>
      </c>
      <c r="O41" s="64">
        <v>0</v>
      </c>
      <c r="P41" s="65">
        <v>0</v>
      </c>
      <c r="Q41" s="1"/>
      <c r="R41" s="1"/>
    </row>
    <row r="42" spans="1:18" ht="15.75" thickBot="1">
      <c r="A42" s="60" t="s">
        <v>66</v>
      </c>
      <c r="B42" s="414" t="s">
        <v>67</v>
      </c>
      <c r="C42" s="415"/>
      <c r="D42" s="416"/>
      <c r="E42" s="153">
        <v>2219</v>
      </c>
      <c r="F42" s="31">
        <f>2219+E42</f>
        <v>4438</v>
      </c>
      <c r="G42" s="62">
        <v>2219</v>
      </c>
      <c r="H42" s="62"/>
      <c r="I42" s="62"/>
      <c r="J42" s="62"/>
      <c r="K42" s="33">
        <f>0+G42</f>
        <v>2219</v>
      </c>
      <c r="L42" s="33">
        <f>2219+K42</f>
        <v>4438</v>
      </c>
      <c r="M42" s="34">
        <f t="shared" si="2"/>
        <v>0</v>
      </c>
      <c r="N42" s="63">
        <f t="shared" si="2"/>
        <v>0</v>
      </c>
      <c r="O42" s="64">
        <v>0</v>
      </c>
      <c r="P42" s="65">
        <v>0</v>
      </c>
      <c r="Q42" s="1"/>
      <c r="R42" s="1"/>
    </row>
    <row r="43" spans="1:18" ht="15.75" thickBot="1">
      <c r="A43" s="60" t="s">
        <v>68</v>
      </c>
      <c r="B43" s="414" t="s">
        <v>210</v>
      </c>
      <c r="C43" s="415"/>
      <c r="D43" s="416"/>
      <c r="E43" s="153"/>
      <c r="F43" s="31">
        <f>3000+E43</f>
        <v>3000</v>
      </c>
      <c r="G43" s="74"/>
      <c r="H43" s="74"/>
      <c r="I43" s="74"/>
      <c r="J43" s="62"/>
      <c r="K43" s="33">
        <f>0+J43</f>
        <v>0</v>
      </c>
      <c r="L43" s="33">
        <f>2112+K43</f>
        <v>2112</v>
      </c>
      <c r="M43" s="34">
        <f t="shared" si="2"/>
        <v>0</v>
      </c>
      <c r="N43" s="63">
        <f t="shared" si="2"/>
        <v>888</v>
      </c>
      <c r="O43" s="64">
        <v>0</v>
      </c>
      <c r="P43" s="65">
        <v>0</v>
      </c>
      <c r="Q43" s="1"/>
      <c r="R43" s="37"/>
    </row>
    <row r="44" spans="1:18" ht="29.25" customHeight="1" thickBot="1">
      <c r="A44" s="51" t="s">
        <v>69</v>
      </c>
      <c r="B44" s="408" t="s">
        <v>70</v>
      </c>
      <c r="C44" s="409"/>
      <c r="D44" s="410"/>
      <c r="E44" s="53">
        <f>SUM(E47:E49)</f>
        <v>265000</v>
      </c>
      <c r="F44" s="73">
        <f>F45+F46+F47</f>
        <v>447600</v>
      </c>
      <c r="G44" s="55">
        <f>G45+G46+G47</f>
        <v>258867</v>
      </c>
      <c r="H44" s="75"/>
      <c r="I44" s="75"/>
      <c r="J44" s="54"/>
      <c r="K44" s="55">
        <f>K45+K46+K47</f>
        <v>258867</v>
      </c>
      <c r="L44" s="55">
        <f>L45+L46+L47</f>
        <v>360002</v>
      </c>
      <c r="M44" s="56">
        <f t="shared" si="2"/>
        <v>6133</v>
      </c>
      <c r="N44" s="158">
        <f t="shared" si="2"/>
        <v>87598</v>
      </c>
      <c r="O44" s="58">
        <v>0</v>
      </c>
      <c r="P44" s="59">
        <v>0</v>
      </c>
      <c r="Q44" s="1"/>
      <c r="R44" s="1"/>
    </row>
    <row r="45" spans="1:18" ht="15.75" thickBot="1">
      <c r="A45" s="60" t="s">
        <v>71</v>
      </c>
      <c r="B45" s="405" t="s">
        <v>53</v>
      </c>
      <c r="C45" s="406"/>
      <c r="D45" s="407"/>
      <c r="E45" s="155">
        <f>E48+E49</f>
        <v>265000</v>
      </c>
      <c r="F45" s="31">
        <f>F48+F49+F50</f>
        <v>447600</v>
      </c>
      <c r="G45" s="33">
        <f>G48+G49</f>
        <v>258867</v>
      </c>
      <c r="H45" s="74"/>
      <c r="I45" s="74"/>
      <c r="J45" s="62"/>
      <c r="K45" s="33">
        <f>0+G45</f>
        <v>258867</v>
      </c>
      <c r="L45" s="33">
        <f>L48+L49</f>
        <v>360002</v>
      </c>
      <c r="M45" s="34">
        <f t="shared" si="2"/>
        <v>6133</v>
      </c>
      <c r="N45" s="35">
        <f t="shared" si="2"/>
        <v>87598</v>
      </c>
      <c r="O45" s="64">
        <v>0</v>
      </c>
      <c r="P45" s="65">
        <v>0</v>
      </c>
      <c r="Q45" s="1"/>
      <c r="R45" s="1"/>
    </row>
    <row r="46" spans="1:18" ht="15.75" thickBot="1">
      <c r="A46" s="60" t="s">
        <v>72</v>
      </c>
      <c r="B46" s="411" t="s">
        <v>51</v>
      </c>
      <c r="C46" s="412"/>
      <c r="D46" s="413"/>
      <c r="E46" s="76"/>
      <c r="F46" s="31"/>
      <c r="G46" s="33"/>
      <c r="H46" s="74"/>
      <c r="I46" s="74"/>
      <c r="J46" s="62"/>
      <c r="K46" s="33">
        <f aca="true" t="shared" si="3" ref="K46:K53">0+G46</f>
        <v>0</v>
      </c>
      <c r="L46" s="33">
        <f>0+K46</f>
        <v>0</v>
      </c>
      <c r="M46" s="34">
        <f t="shared" si="2"/>
        <v>0</v>
      </c>
      <c r="N46" s="63">
        <f t="shared" si="2"/>
        <v>0</v>
      </c>
      <c r="O46" s="64">
        <v>0</v>
      </c>
      <c r="P46" s="65">
        <v>0</v>
      </c>
      <c r="Q46" s="1"/>
      <c r="R46" s="1"/>
    </row>
    <row r="47" spans="1:18" ht="15.75" thickBot="1">
      <c r="A47" s="60" t="s">
        <v>73</v>
      </c>
      <c r="B47" s="77" t="s">
        <v>55</v>
      </c>
      <c r="C47" s="78"/>
      <c r="D47" s="78"/>
      <c r="E47" s="79"/>
      <c r="F47" s="31"/>
      <c r="G47" s="33"/>
      <c r="H47" s="74"/>
      <c r="I47" s="74"/>
      <c r="J47" s="62"/>
      <c r="K47" s="33">
        <f t="shared" si="3"/>
        <v>0</v>
      </c>
      <c r="L47" s="33">
        <f>0+K47</f>
        <v>0</v>
      </c>
      <c r="M47" s="34">
        <f t="shared" si="2"/>
        <v>0</v>
      </c>
      <c r="N47" s="63">
        <f t="shared" si="2"/>
        <v>0</v>
      </c>
      <c r="O47" s="64">
        <v>0</v>
      </c>
      <c r="P47" s="65">
        <v>0</v>
      </c>
      <c r="Q47" s="1"/>
      <c r="R47" s="80"/>
    </row>
    <row r="48" spans="1:18" ht="15.75" thickBot="1">
      <c r="A48" s="60" t="s">
        <v>74</v>
      </c>
      <c r="B48" s="420" t="s">
        <v>75</v>
      </c>
      <c r="C48" s="421"/>
      <c r="D48" s="422"/>
      <c r="E48" s="156">
        <v>265000</v>
      </c>
      <c r="F48" s="31">
        <f>170000+E48</f>
        <v>435000</v>
      </c>
      <c r="G48" s="74">
        <v>258178</v>
      </c>
      <c r="H48" s="74"/>
      <c r="I48" s="74"/>
      <c r="J48" s="62"/>
      <c r="K48" s="33">
        <f>0+G48</f>
        <v>258178</v>
      </c>
      <c r="L48" s="33">
        <f>101135+K48</f>
        <v>359313</v>
      </c>
      <c r="M48" s="34">
        <f>E48-K48</f>
        <v>6822</v>
      </c>
      <c r="N48" s="63">
        <f t="shared" si="2"/>
        <v>75687</v>
      </c>
      <c r="O48" s="64">
        <v>0</v>
      </c>
      <c r="P48" s="65">
        <v>0</v>
      </c>
      <c r="Q48" s="1"/>
      <c r="R48" s="37"/>
    </row>
    <row r="49" spans="1:18" ht="15.75" thickBot="1">
      <c r="A49" s="60" t="s">
        <v>76</v>
      </c>
      <c r="B49" s="420" t="s">
        <v>77</v>
      </c>
      <c r="C49" s="421"/>
      <c r="D49" s="422"/>
      <c r="E49" s="156"/>
      <c r="F49" s="157">
        <f>12600+E49</f>
        <v>12600</v>
      </c>
      <c r="G49" s="74">
        <v>689</v>
      </c>
      <c r="H49" s="74"/>
      <c r="I49" s="74"/>
      <c r="J49" s="62"/>
      <c r="K49" s="33">
        <f t="shared" si="3"/>
        <v>689</v>
      </c>
      <c r="L49" s="33">
        <f>0+K49</f>
        <v>689</v>
      </c>
      <c r="M49" s="34">
        <f t="shared" si="2"/>
        <v>-689</v>
      </c>
      <c r="N49" s="63">
        <f t="shared" si="2"/>
        <v>11911</v>
      </c>
      <c r="O49" s="64">
        <v>0</v>
      </c>
      <c r="P49" s="65">
        <v>0</v>
      </c>
      <c r="Q49" s="1"/>
      <c r="R49" s="1"/>
    </row>
    <row r="50" spans="1:18" ht="15.75" thickBot="1">
      <c r="A50" s="60" t="s">
        <v>78</v>
      </c>
      <c r="B50" s="420" t="s">
        <v>79</v>
      </c>
      <c r="C50" s="421"/>
      <c r="D50" s="422"/>
      <c r="E50" s="74"/>
      <c r="F50" s="31">
        <f>0+E50</f>
        <v>0</v>
      </c>
      <c r="G50" s="74"/>
      <c r="H50" s="74"/>
      <c r="I50" s="74"/>
      <c r="J50" s="62"/>
      <c r="K50" s="33">
        <f t="shared" si="3"/>
        <v>0</v>
      </c>
      <c r="L50" s="33">
        <f aca="true" t="shared" si="4" ref="L50:L57">0+K50</f>
        <v>0</v>
      </c>
      <c r="M50" s="34">
        <f t="shared" si="2"/>
        <v>0</v>
      </c>
      <c r="N50" s="63">
        <f t="shared" si="2"/>
        <v>0</v>
      </c>
      <c r="O50" s="64">
        <v>0</v>
      </c>
      <c r="P50" s="65">
        <v>0</v>
      </c>
      <c r="Q50" s="1"/>
      <c r="R50" s="1"/>
    </row>
    <row r="51" spans="1:18" ht="44.25" customHeight="1" thickBot="1">
      <c r="A51" s="51" t="s">
        <v>80</v>
      </c>
      <c r="B51" s="423" t="s">
        <v>81</v>
      </c>
      <c r="C51" s="424"/>
      <c r="D51" s="425"/>
      <c r="E51" s="55">
        <v>0</v>
      </c>
      <c r="F51" s="55">
        <v>0</v>
      </c>
      <c r="G51" s="55"/>
      <c r="H51" s="55"/>
      <c r="I51" s="55"/>
      <c r="J51" s="54"/>
      <c r="K51" s="55">
        <f t="shared" si="3"/>
        <v>0</v>
      </c>
      <c r="L51" s="55">
        <f t="shared" si="4"/>
        <v>0</v>
      </c>
      <c r="M51" s="56">
        <f t="shared" si="2"/>
        <v>0</v>
      </c>
      <c r="N51" s="57">
        <f t="shared" si="2"/>
        <v>0</v>
      </c>
      <c r="O51" s="58">
        <v>0</v>
      </c>
      <c r="P51" s="59">
        <v>0</v>
      </c>
      <c r="Q51" s="1"/>
      <c r="R51" s="1"/>
    </row>
    <row r="52" spans="1:18" ht="15.75" thickBot="1">
      <c r="A52" s="60" t="s">
        <v>82</v>
      </c>
      <c r="B52" s="405" t="s">
        <v>53</v>
      </c>
      <c r="C52" s="406"/>
      <c r="D52" s="407"/>
      <c r="E52" s="33"/>
      <c r="F52" s="33"/>
      <c r="G52" s="33"/>
      <c r="H52" s="33"/>
      <c r="I52" s="33"/>
      <c r="J52" s="62"/>
      <c r="K52" s="33">
        <f t="shared" si="3"/>
        <v>0</v>
      </c>
      <c r="L52" s="33">
        <f t="shared" si="4"/>
        <v>0</v>
      </c>
      <c r="M52" s="34">
        <f t="shared" si="2"/>
        <v>0</v>
      </c>
      <c r="N52" s="63">
        <f t="shared" si="2"/>
        <v>0</v>
      </c>
      <c r="O52" s="64">
        <v>0</v>
      </c>
      <c r="P52" s="65">
        <v>0</v>
      </c>
      <c r="Q52" s="1"/>
      <c r="R52" s="1"/>
    </row>
    <row r="53" spans="1:18" ht="17.25" customHeight="1" thickBot="1">
      <c r="A53" s="60" t="s">
        <v>83</v>
      </c>
      <c r="B53" s="457" t="s">
        <v>55</v>
      </c>
      <c r="C53" s="458"/>
      <c r="D53" s="459"/>
      <c r="E53" s="33"/>
      <c r="F53" s="33"/>
      <c r="G53" s="33"/>
      <c r="H53" s="33"/>
      <c r="I53" s="33"/>
      <c r="J53" s="62"/>
      <c r="K53" s="33">
        <f t="shared" si="3"/>
        <v>0</v>
      </c>
      <c r="L53" s="33">
        <f t="shared" si="4"/>
        <v>0</v>
      </c>
      <c r="M53" s="34">
        <f t="shared" si="2"/>
        <v>0</v>
      </c>
      <c r="N53" s="63">
        <f t="shared" si="2"/>
        <v>0</v>
      </c>
      <c r="O53" s="64">
        <v>0</v>
      </c>
      <c r="P53" s="65">
        <v>0</v>
      </c>
      <c r="Q53" s="1"/>
      <c r="R53" s="1"/>
    </row>
    <row r="54" spans="1:18" ht="48" customHeight="1" thickBot="1">
      <c r="A54" s="51" t="s">
        <v>84</v>
      </c>
      <c r="B54" s="408" t="s">
        <v>85</v>
      </c>
      <c r="C54" s="409"/>
      <c r="D54" s="410"/>
      <c r="E54" s="53">
        <f>SUM(E59:E63)</f>
        <v>350200</v>
      </c>
      <c r="F54" s="73">
        <f>F55+F58</f>
        <v>749800</v>
      </c>
      <c r="G54" s="55">
        <f>G55+G56+G57+G58</f>
        <v>222871.48</v>
      </c>
      <c r="H54" s="55"/>
      <c r="I54" s="55"/>
      <c r="J54" s="55">
        <f>J55+J56+J57+J58</f>
        <v>0</v>
      </c>
      <c r="K54" s="55">
        <f>K55+K56+K57</f>
        <v>222871.48</v>
      </c>
      <c r="L54" s="55">
        <f>L55+L56+L57+L58</f>
        <v>258071.90000000002</v>
      </c>
      <c r="M54" s="56">
        <f t="shared" si="2"/>
        <v>127328.51999999999</v>
      </c>
      <c r="N54" s="70">
        <f t="shared" si="2"/>
        <v>491728.1</v>
      </c>
      <c r="O54" s="58">
        <v>0</v>
      </c>
      <c r="P54" s="59">
        <v>0</v>
      </c>
      <c r="Q54" s="1"/>
      <c r="R54" s="37"/>
    </row>
    <row r="55" spans="1:18" ht="15.75" thickBot="1">
      <c r="A55" s="60" t="s">
        <v>86</v>
      </c>
      <c r="B55" s="405" t="s">
        <v>53</v>
      </c>
      <c r="C55" s="406"/>
      <c r="D55" s="407"/>
      <c r="E55" s="81">
        <f>E59+E60+E62+E63-E58</f>
        <v>340700</v>
      </c>
      <c r="F55" s="31">
        <f>390100+E55</f>
        <v>730800</v>
      </c>
      <c r="G55" s="33">
        <f>G59+G60+G62+G63</f>
        <v>222871.48</v>
      </c>
      <c r="H55" s="33"/>
      <c r="I55" s="33"/>
      <c r="J55" s="33"/>
      <c r="K55" s="33">
        <f>0+G55</f>
        <v>222871.48</v>
      </c>
      <c r="L55" s="33">
        <f>35200.42+K55</f>
        <v>258071.90000000002</v>
      </c>
      <c r="M55" s="34">
        <f t="shared" si="2"/>
        <v>117828.51999999999</v>
      </c>
      <c r="N55" s="63">
        <f t="shared" si="2"/>
        <v>472728.1</v>
      </c>
      <c r="O55" s="64">
        <v>0</v>
      </c>
      <c r="P55" s="65">
        <v>0</v>
      </c>
      <c r="Q55" s="1"/>
      <c r="R55" s="37"/>
    </row>
    <row r="56" spans="1:18" ht="15.75" thickBot="1">
      <c r="A56" s="60" t="s">
        <v>87</v>
      </c>
      <c r="B56" s="411" t="s">
        <v>88</v>
      </c>
      <c r="C56" s="412"/>
      <c r="D56" s="413"/>
      <c r="E56" s="61"/>
      <c r="F56" s="31"/>
      <c r="G56" s="33"/>
      <c r="H56" s="33"/>
      <c r="I56" s="33"/>
      <c r="J56" s="33"/>
      <c r="K56" s="33">
        <f aca="true" t="shared" si="5" ref="K56:K61">0+G56</f>
        <v>0</v>
      </c>
      <c r="L56" s="33">
        <f t="shared" si="4"/>
        <v>0</v>
      </c>
      <c r="M56" s="34">
        <f aca="true" t="shared" si="6" ref="M56:N71">E56-K56</f>
        <v>0</v>
      </c>
      <c r="N56" s="63">
        <f t="shared" si="6"/>
        <v>0</v>
      </c>
      <c r="O56" s="64">
        <v>0</v>
      </c>
      <c r="P56" s="65">
        <v>0</v>
      </c>
      <c r="Q56" s="1"/>
      <c r="R56" s="37"/>
    </row>
    <row r="57" spans="1:18" ht="15.75" thickBot="1">
      <c r="A57" s="60" t="s">
        <v>89</v>
      </c>
      <c r="B57" s="435" t="s">
        <v>55</v>
      </c>
      <c r="C57" s="436"/>
      <c r="D57" s="436"/>
      <c r="E57" s="82"/>
      <c r="F57" s="31"/>
      <c r="G57" s="33"/>
      <c r="H57" s="33"/>
      <c r="I57" s="33"/>
      <c r="J57" s="33"/>
      <c r="K57" s="33">
        <f t="shared" si="5"/>
        <v>0</v>
      </c>
      <c r="L57" s="33">
        <f t="shared" si="4"/>
        <v>0</v>
      </c>
      <c r="M57" s="34">
        <f t="shared" si="6"/>
        <v>0</v>
      </c>
      <c r="N57" s="63">
        <f t="shared" si="6"/>
        <v>0</v>
      </c>
      <c r="O57" s="64">
        <v>0</v>
      </c>
      <c r="P57" s="65">
        <v>0</v>
      </c>
      <c r="Q57" s="1"/>
      <c r="R57" s="37"/>
    </row>
    <row r="58" spans="1:18" ht="15.75" thickBot="1">
      <c r="A58" s="60" t="s">
        <v>90</v>
      </c>
      <c r="B58" s="383" t="s">
        <v>40</v>
      </c>
      <c r="C58" s="384"/>
      <c r="D58" s="385"/>
      <c r="E58" s="155">
        <v>9500</v>
      </c>
      <c r="F58" s="31">
        <f>9500+E58</f>
        <v>19000</v>
      </c>
      <c r="G58" s="33"/>
      <c r="H58" s="33"/>
      <c r="I58" s="33"/>
      <c r="J58" s="33">
        <f>J62+J63+J59</f>
        <v>0</v>
      </c>
      <c r="K58" s="33">
        <f>0+J58</f>
        <v>0</v>
      </c>
      <c r="L58" s="33">
        <f>0+K58</f>
        <v>0</v>
      </c>
      <c r="M58" s="34">
        <f t="shared" si="6"/>
        <v>9500</v>
      </c>
      <c r="N58" s="63">
        <f t="shared" si="6"/>
        <v>19000</v>
      </c>
      <c r="O58" s="64">
        <v>0</v>
      </c>
      <c r="P58" s="65">
        <v>0</v>
      </c>
      <c r="Q58" s="1"/>
      <c r="R58" s="37"/>
    </row>
    <row r="59" spans="1:18" ht="26.25" customHeight="1" thickBot="1">
      <c r="A59" s="60" t="s">
        <v>91</v>
      </c>
      <c r="B59" s="437" t="s">
        <v>92</v>
      </c>
      <c r="C59" s="438"/>
      <c r="D59" s="439"/>
      <c r="E59" s="156">
        <v>90000</v>
      </c>
      <c r="F59" s="31">
        <f>90000+E59</f>
        <v>180000</v>
      </c>
      <c r="G59" s="74">
        <v>222871.48</v>
      </c>
      <c r="H59" s="74"/>
      <c r="I59" s="74"/>
      <c r="J59" s="33"/>
      <c r="K59" s="33">
        <f>J59+G59</f>
        <v>222871.48</v>
      </c>
      <c r="L59" s="33">
        <f>23332.93+K59</f>
        <v>246204.41</v>
      </c>
      <c r="M59" s="34">
        <f t="shared" si="6"/>
        <v>-132871.48</v>
      </c>
      <c r="N59" s="35">
        <f t="shared" si="6"/>
        <v>-66204.41</v>
      </c>
      <c r="O59" s="64">
        <v>0</v>
      </c>
      <c r="P59" s="65">
        <v>0</v>
      </c>
      <c r="Q59" s="1"/>
      <c r="R59" s="80"/>
    </row>
    <row r="60" spans="1:18" ht="15.75" thickBot="1">
      <c r="A60" s="60" t="s">
        <v>93</v>
      </c>
      <c r="B60" s="426" t="s">
        <v>94</v>
      </c>
      <c r="C60" s="427"/>
      <c r="D60" s="427"/>
      <c r="E60" s="152">
        <v>250000</v>
      </c>
      <c r="F60" s="31">
        <f>300000+E60</f>
        <v>550000</v>
      </c>
      <c r="G60" s="74"/>
      <c r="H60" s="74"/>
      <c r="I60" s="74"/>
      <c r="J60" s="33"/>
      <c r="K60" s="33">
        <f>0+G60</f>
        <v>0</v>
      </c>
      <c r="L60" s="33">
        <f>0+K60</f>
        <v>0</v>
      </c>
      <c r="M60" s="34">
        <f t="shared" si="6"/>
        <v>250000</v>
      </c>
      <c r="N60" s="63">
        <f t="shared" si="6"/>
        <v>550000</v>
      </c>
      <c r="O60" s="64">
        <v>0</v>
      </c>
      <c r="P60" s="65">
        <v>0</v>
      </c>
      <c r="Q60" s="1"/>
      <c r="R60" s="37"/>
    </row>
    <row r="61" spans="1:18" ht="15.75" thickBot="1">
      <c r="A61" s="60" t="s">
        <v>93</v>
      </c>
      <c r="B61" s="440" t="s">
        <v>95</v>
      </c>
      <c r="C61" s="441"/>
      <c r="D61" s="442"/>
      <c r="E61" s="152"/>
      <c r="F61" s="31"/>
      <c r="G61" s="74"/>
      <c r="H61" s="74"/>
      <c r="I61" s="74"/>
      <c r="J61" s="33"/>
      <c r="K61" s="33">
        <f t="shared" si="5"/>
        <v>0</v>
      </c>
      <c r="L61" s="33">
        <f>0+K61</f>
        <v>0</v>
      </c>
      <c r="M61" s="34">
        <f t="shared" si="6"/>
        <v>0</v>
      </c>
      <c r="N61" s="63">
        <f t="shared" si="6"/>
        <v>0</v>
      </c>
      <c r="O61" s="64">
        <v>0</v>
      </c>
      <c r="P61" s="65">
        <v>0</v>
      </c>
      <c r="Q61" s="1"/>
      <c r="R61" s="1"/>
    </row>
    <row r="62" spans="1:18" ht="15.75" thickBot="1">
      <c r="A62" s="60" t="s">
        <v>96</v>
      </c>
      <c r="B62" s="426" t="s">
        <v>97</v>
      </c>
      <c r="C62" s="427"/>
      <c r="D62" s="428"/>
      <c r="E62" s="152">
        <v>5400</v>
      </c>
      <c r="F62" s="31">
        <f>5100+E62</f>
        <v>10500</v>
      </c>
      <c r="G62" s="83"/>
      <c r="H62" s="84"/>
      <c r="I62" s="74"/>
      <c r="J62" s="74"/>
      <c r="K62" s="33">
        <f>0+J62+G62</f>
        <v>0</v>
      </c>
      <c r="L62" s="33">
        <f>6337.57+K62</f>
        <v>6337.57</v>
      </c>
      <c r="M62" s="34">
        <f t="shared" si="6"/>
        <v>5400</v>
      </c>
      <c r="N62" s="63">
        <f t="shared" si="6"/>
        <v>4162.43</v>
      </c>
      <c r="O62" s="64">
        <v>0</v>
      </c>
      <c r="P62" s="65">
        <v>0</v>
      </c>
      <c r="Q62" s="1"/>
      <c r="R62" s="1"/>
    </row>
    <row r="63" spans="1:18" ht="15.75" thickBot="1">
      <c r="A63" s="60" t="s">
        <v>98</v>
      </c>
      <c r="B63" s="426" t="s">
        <v>99</v>
      </c>
      <c r="C63" s="427"/>
      <c r="D63" s="428"/>
      <c r="E63" s="152">
        <v>4800</v>
      </c>
      <c r="F63" s="31">
        <f>4500+E63</f>
        <v>9300</v>
      </c>
      <c r="G63" s="85"/>
      <c r="H63" s="74"/>
      <c r="I63" s="74"/>
      <c r="J63" s="74"/>
      <c r="K63" s="33">
        <f>0+J63+G63</f>
        <v>0</v>
      </c>
      <c r="L63" s="33">
        <f>5529.92+K63</f>
        <v>5529.92</v>
      </c>
      <c r="M63" s="34">
        <f t="shared" si="6"/>
        <v>4800</v>
      </c>
      <c r="N63" s="63">
        <f t="shared" si="6"/>
        <v>3770.08</v>
      </c>
      <c r="O63" s="64">
        <v>0</v>
      </c>
      <c r="P63" s="65">
        <v>0</v>
      </c>
      <c r="Q63" s="1"/>
      <c r="R63" s="1"/>
    </row>
    <row r="64" spans="1:18" ht="35.25" customHeight="1" thickBot="1">
      <c r="A64" s="86" t="s">
        <v>100</v>
      </c>
      <c r="B64" s="429" t="s">
        <v>101</v>
      </c>
      <c r="C64" s="430"/>
      <c r="D64" s="431"/>
      <c r="E64" s="53">
        <f>E65</f>
        <v>0</v>
      </c>
      <c r="F64" s="73">
        <f>F65+F66</f>
        <v>48500</v>
      </c>
      <c r="G64" s="75">
        <f>G65+G66</f>
        <v>37500</v>
      </c>
      <c r="H64" s="55"/>
      <c r="I64" s="55">
        <f>I66</f>
        <v>0</v>
      </c>
      <c r="J64" s="55">
        <f>J65+J66</f>
        <v>0</v>
      </c>
      <c r="K64" s="55">
        <f>K65+K66</f>
        <v>37500</v>
      </c>
      <c r="L64" s="55">
        <f>L65+L66</f>
        <v>37500</v>
      </c>
      <c r="M64" s="56">
        <f t="shared" si="6"/>
        <v>-37500</v>
      </c>
      <c r="N64" s="70">
        <f t="shared" si="6"/>
        <v>11000</v>
      </c>
      <c r="O64" s="58">
        <v>0</v>
      </c>
      <c r="P64" s="59">
        <v>0</v>
      </c>
      <c r="Q64" s="1"/>
      <c r="R64" s="1"/>
    </row>
    <row r="65" spans="1:18" ht="16.5" customHeight="1" thickBot="1">
      <c r="A65" s="60" t="s">
        <v>102</v>
      </c>
      <c r="B65" s="435" t="s">
        <v>53</v>
      </c>
      <c r="C65" s="436"/>
      <c r="D65" s="490"/>
      <c r="E65" s="45"/>
      <c r="F65" s="31">
        <f>48500+E65</f>
        <v>48500</v>
      </c>
      <c r="G65" s="74">
        <v>37500</v>
      </c>
      <c r="H65" s="33"/>
      <c r="I65" s="33"/>
      <c r="J65" s="33"/>
      <c r="K65" s="33">
        <f>0+G65</f>
        <v>37500</v>
      </c>
      <c r="L65" s="33">
        <f>0+K65</f>
        <v>37500</v>
      </c>
      <c r="M65" s="34">
        <f t="shared" si="6"/>
        <v>-37500</v>
      </c>
      <c r="N65" s="35">
        <f t="shared" si="6"/>
        <v>11000</v>
      </c>
      <c r="O65" s="64">
        <v>0</v>
      </c>
      <c r="P65" s="65">
        <v>0</v>
      </c>
      <c r="Q65" s="1"/>
      <c r="R65" s="1"/>
    </row>
    <row r="66" spans="1:18" ht="20.25" customHeight="1" thickBot="1">
      <c r="A66" s="60" t="s">
        <v>103</v>
      </c>
      <c r="B66" s="435" t="s">
        <v>104</v>
      </c>
      <c r="C66" s="436"/>
      <c r="D66" s="490"/>
      <c r="E66" s="45"/>
      <c r="F66" s="31"/>
      <c r="G66" s="74"/>
      <c r="H66" s="33"/>
      <c r="I66" s="33"/>
      <c r="J66" s="33"/>
      <c r="K66" s="33">
        <f>0+I66</f>
        <v>0</v>
      </c>
      <c r="L66" s="33">
        <f>0+K66</f>
        <v>0</v>
      </c>
      <c r="M66" s="34">
        <f t="shared" si="6"/>
        <v>0</v>
      </c>
      <c r="N66" s="35">
        <f t="shared" si="6"/>
        <v>0</v>
      </c>
      <c r="O66" s="64">
        <v>0</v>
      </c>
      <c r="P66" s="65">
        <v>0</v>
      </c>
      <c r="Q66" s="1"/>
      <c r="R66" s="1"/>
    </row>
    <row r="67" spans="1:18" ht="33.75" customHeight="1" thickBot="1">
      <c r="A67" s="69" t="s">
        <v>105</v>
      </c>
      <c r="B67" s="432" t="s">
        <v>215</v>
      </c>
      <c r="C67" s="433"/>
      <c r="D67" s="434"/>
      <c r="E67" s="53">
        <f>E68</f>
        <v>0</v>
      </c>
      <c r="F67" s="73">
        <f>F68+F69+F70</f>
        <v>100000</v>
      </c>
      <c r="G67" s="75">
        <f>G68+G69</f>
        <v>0</v>
      </c>
      <c r="H67" s="55"/>
      <c r="I67" s="55"/>
      <c r="J67" s="55"/>
      <c r="K67" s="55">
        <f>K68+K69+K70</f>
        <v>0</v>
      </c>
      <c r="L67" s="55">
        <f>0+K67</f>
        <v>0</v>
      </c>
      <c r="M67" s="56">
        <f t="shared" si="6"/>
        <v>0</v>
      </c>
      <c r="N67" s="70">
        <f t="shared" si="6"/>
        <v>100000</v>
      </c>
      <c r="O67" s="58">
        <v>0</v>
      </c>
      <c r="P67" s="59">
        <v>0</v>
      </c>
      <c r="Q67" s="1"/>
      <c r="R67" s="37"/>
    </row>
    <row r="68" spans="1:18" ht="15.75" thickBot="1">
      <c r="A68" s="60" t="s">
        <v>107</v>
      </c>
      <c r="B68" s="446" t="s">
        <v>53</v>
      </c>
      <c r="C68" s="447"/>
      <c r="D68" s="448"/>
      <c r="E68" s="61"/>
      <c r="F68" s="31">
        <f>100000+E68</f>
        <v>100000</v>
      </c>
      <c r="G68" s="74"/>
      <c r="H68" s="33"/>
      <c r="I68" s="33"/>
      <c r="J68" s="33"/>
      <c r="K68" s="33">
        <f>G68</f>
        <v>0</v>
      </c>
      <c r="L68" s="33">
        <f>0+K68</f>
        <v>0</v>
      </c>
      <c r="M68" s="34">
        <f>E68-K68</f>
        <v>0</v>
      </c>
      <c r="N68" s="35">
        <f t="shared" si="6"/>
        <v>100000</v>
      </c>
      <c r="O68" s="64">
        <v>0</v>
      </c>
      <c r="P68" s="65">
        <v>0</v>
      </c>
      <c r="Q68" s="1"/>
      <c r="R68" s="37"/>
    </row>
    <row r="69" spans="1:18" ht="15.75" thickBot="1">
      <c r="A69" s="60" t="s">
        <v>108</v>
      </c>
      <c r="B69" s="435" t="s">
        <v>104</v>
      </c>
      <c r="C69" s="436"/>
      <c r="D69" s="490"/>
      <c r="E69" s="61"/>
      <c r="F69" s="31"/>
      <c r="G69" s="74"/>
      <c r="H69" s="33"/>
      <c r="I69" s="33"/>
      <c r="J69" s="33"/>
      <c r="K69" s="33">
        <f>G69</f>
        <v>0</v>
      </c>
      <c r="L69" s="33">
        <f>0+K69</f>
        <v>0</v>
      </c>
      <c r="M69" s="34">
        <f t="shared" si="6"/>
        <v>0</v>
      </c>
      <c r="N69" s="35">
        <f t="shared" si="6"/>
        <v>0</v>
      </c>
      <c r="O69" s="64">
        <v>0</v>
      </c>
      <c r="P69" s="65">
        <v>0</v>
      </c>
      <c r="Q69" s="1"/>
      <c r="R69" s="37"/>
    </row>
    <row r="70" spans="1:18" ht="15.75" thickBot="1">
      <c r="A70" s="60" t="s">
        <v>109</v>
      </c>
      <c r="B70" s="446" t="s">
        <v>55</v>
      </c>
      <c r="C70" s="447"/>
      <c r="D70" s="448"/>
      <c r="E70" s="81"/>
      <c r="F70" s="31"/>
      <c r="G70" s="74"/>
      <c r="H70" s="33"/>
      <c r="I70" s="33"/>
      <c r="J70" s="33"/>
      <c r="K70" s="33">
        <f>0+J70</f>
        <v>0</v>
      </c>
      <c r="L70" s="33">
        <f>0+K70</f>
        <v>0</v>
      </c>
      <c r="M70" s="34">
        <f t="shared" si="6"/>
        <v>0</v>
      </c>
      <c r="N70" s="35">
        <f t="shared" si="6"/>
        <v>0</v>
      </c>
      <c r="O70" s="64">
        <v>0</v>
      </c>
      <c r="P70" s="65">
        <v>0</v>
      </c>
      <c r="Q70" s="1"/>
      <c r="R70" s="37"/>
    </row>
    <row r="71" spans="1:18" ht="26.25" customHeight="1" thickBot="1">
      <c r="A71" s="87" t="s">
        <v>110</v>
      </c>
      <c r="B71" s="443" t="s">
        <v>111</v>
      </c>
      <c r="C71" s="444"/>
      <c r="D71" s="445"/>
      <c r="E71" s="53">
        <f>E72+E73</f>
        <v>3300</v>
      </c>
      <c r="F71" s="73">
        <f>0+E71</f>
        <v>3300</v>
      </c>
      <c r="G71" s="75">
        <f>G72+G73</f>
        <v>1308</v>
      </c>
      <c r="H71" s="55"/>
      <c r="I71" s="55"/>
      <c r="J71" s="55"/>
      <c r="K71" s="55">
        <f>G71</f>
        <v>1308</v>
      </c>
      <c r="L71" s="55">
        <f>L72</f>
        <v>2638</v>
      </c>
      <c r="M71" s="56">
        <f t="shared" si="6"/>
        <v>1992</v>
      </c>
      <c r="N71" s="70">
        <f t="shared" si="6"/>
        <v>662</v>
      </c>
      <c r="O71" s="58">
        <v>0</v>
      </c>
      <c r="P71" s="59">
        <v>0</v>
      </c>
      <c r="Q71" s="1"/>
      <c r="R71" s="1"/>
    </row>
    <row r="72" spans="1:18" ht="15.75" thickBot="1">
      <c r="A72" s="60" t="s">
        <v>107</v>
      </c>
      <c r="B72" s="405" t="s">
        <v>53</v>
      </c>
      <c r="C72" s="406"/>
      <c r="D72" s="407"/>
      <c r="E72" s="61">
        <v>3300</v>
      </c>
      <c r="F72" s="31">
        <f>3300+E72</f>
        <v>6600</v>
      </c>
      <c r="G72" s="74">
        <v>1308</v>
      </c>
      <c r="H72" s="33"/>
      <c r="I72" s="33"/>
      <c r="J72" s="33"/>
      <c r="K72" s="33">
        <f>G72</f>
        <v>1308</v>
      </c>
      <c r="L72" s="33">
        <f>1330+K72</f>
        <v>2638</v>
      </c>
      <c r="M72" s="34">
        <f aca="true" t="shared" si="7" ref="M72:N82">E72-K72</f>
        <v>1992</v>
      </c>
      <c r="N72" s="35">
        <f t="shared" si="7"/>
        <v>3962</v>
      </c>
      <c r="O72" s="64">
        <v>0</v>
      </c>
      <c r="P72" s="65">
        <v>0</v>
      </c>
      <c r="Q72" s="1"/>
      <c r="R72" s="1"/>
    </row>
    <row r="73" spans="1:18" ht="15" customHeight="1" thickBot="1">
      <c r="A73" s="60" t="s">
        <v>109</v>
      </c>
      <c r="B73" s="405" t="s">
        <v>55</v>
      </c>
      <c r="C73" s="406"/>
      <c r="D73" s="407"/>
      <c r="E73" s="81"/>
      <c r="F73" s="31"/>
      <c r="G73" s="74"/>
      <c r="H73" s="33"/>
      <c r="I73" s="33"/>
      <c r="J73" s="33"/>
      <c r="K73" s="33">
        <f>0+J73</f>
        <v>0</v>
      </c>
      <c r="L73" s="33">
        <f>0+K73</f>
        <v>0</v>
      </c>
      <c r="M73" s="34">
        <f t="shared" si="7"/>
        <v>0</v>
      </c>
      <c r="N73" s="35">
        <f t="shared" si="7"/>
        <v>0</v>
      </c>
      <c r="O73" s="64">
        <v>0</v>
      </c>
      <c r="P73" s="65">
        <v>0</v>
      </c>
      <c r="Q73" s="1"/>
      <c r="R73" s="1"/>
    </row>
    <row r="74" spans="1:18" ht="45.75" customHeight="1" thickBot="1">
      <c r="A74" s="87" t="s">
        <v>112</v>
      </c>
      <c r="B74" s="443" t="s">
        <v>113</v>
      </c>
      <c r="C74" s="444"/>
      <c r="D74" s="445"/>
      <c r="E74" s="53">
        <f>E75</f>
        <v>22000</v>
      </c>
      <c r="F74" s="73">
        <f>F75+F76</f>
        <v>34000</v>
      </c>
      <c r="G74" s="75">
        <f>G75+G76+G77</f>
        <v>363</v>
      </c>
      <c r="H74" s="55"/>
      <c r="I74" s="55">
        <f>I75+I76</f>
        <v>0</v>
      </c>
      <c r="J74" s="55"/>
      <c r="K74" s="55">
        <f>K75+K76+K77</f>
        <v>363</v>
      </c>
      <c r="L74" s="55">
        <f>L75+L76+L77</f>
        <v>2566</v>
      </c>
      <c r="M74" s="56">
        <f t="shared" si="7"/>
        <v>21637</v>
      </c>
      <c r="N74" s="70">
        <f t="shared" si="7"/>
        <v>31434</v>
      </c>
      <c r="O74" s="58">
        <v>0</v>
      </c>
      <c r="P74" s="59">
        <v>0</v>
      </c>
      <c r="Q74" s="1"/>
      <c r="R74" s="1"/>
    </row>
    <row r="75" spans="1:18" ht="15.75" thickBot="1">
      <c r="A75" s="60" t="s">
        <v>114</v>
      </c>
      <c r="B75" s="405" t="s">
        <v>53</v>
      </c>
      <c r="C75" s="406"/>
      <c r="D75" s="407"/>
      <c r="E75" s="61">
        <v>22000</v>
      </c>
      <c r="F75" s="31">
        <f>12000+E75</f>
        <v>34000</v>
      </c>
      <c r="G75" s="74">
        <v>363</v>
      </c>
      <c r="H75" s="33"/>
      <c r="I75" s="33"/>
      <c r="J75" s="33"/>
      <c r="K75" s="33">
        <f>G75</f>
        <v>363</v>
      </c>
      <c r="L75" s="33">
        <f>2203+K75</f>
        <v>2566</v>
      </c>
      <c r="M75" s="34">
        <f>E75-K75</f>
        <v>21637</v>
      </c>
      <c r="N75" s="35">
        <f t="shared" si="7"/>
        <v>31434</v>
      </c>
      <c r="O75" s="64">
        <v>0</v>
      </c>
      <c r="P75" s="65">
        <v>0</v>
      </c>
      <c r="Q75" s="1"/>
      <c r="R75" s="1"/>
    </row>
    <row r="76" spans="1:18" ht="15.75" thickBot="1">
      <c r="A76" s="60" t="s">
        <v>115</v>
      </c>
      <c r="B76" s="435" t="s">
        <v>104</v>
      </c>
      <c r="C76" s="436"/>
      <c r="D76" s="490"/>
      <c r="E76" s="81"/>
      <c r="F76" s="31"/>
      <c r="G76" s="74"/>
      <c r="H76" s="33"/>
      <c r="I76" s="33"/>
      <c r="J76" s="33"/>
      <c r="K76" s="33">
        <f>I76</f>
        <v>0</v>
      </c>
      <c r="L76" s="33">
        <f>0+K76</f>
        <v>0</v>
      </c>
      <c r="M76" s="34">
        <f t="shared" si="7"/>
        <v>0</v>
      </c>
      <c r="N76" s="35">
        <f t="shared" si="7"/>
        <v>0</v>
      </c>
      <c r="O76" s="64">
        <v>0</v>
      </c>
      <c r="P76" s="65">
        <v>0</v>
      </c>
      <c r="Q76" s="1"/>
      <c r="R76" s="1"/>
    </row>
    <row r="77" spans="1:18" ht="21" customHeight="1" thickBot="1">
      <c r="A77" s="60" t="s">
        <v>116</v>
      </c>
      <c r="B77" s="405" t="s">
        <v>55</v>
      </c>
      <c r="C77" s="406"/>
      <c r="D77" s="407"/>
      <c r="E77" s="61"/>
      <c r="F77" s="31"/>
      <c r="G77" s="74"/>
      <c r="H77" s="33"/>
      <c r="I77" s="33"/>
      <c r="J77" s="33"/>
      <c r="K77" s="33">
        <f>0+J77</f>
        <v>0</v>
      </c>
      <c r="L77" s="33">
        <f>0+K77</f>
        <v>0</v>
      </c>
      <c r="M77" s="34">
        <f t="shared" si="7"/>
        <v>0</v>
      </c>
      <c r="N77" s="35">
        <f t="shared" si="7"/>
        <v>0</v>
      </c>
      <c r="O77" s="64">
        <v>0</v>
      </c>
      <c r="P77" s="65">
        <v>0</v>
      </c>
      <c r="Q77" s="1"/>
      <c r="R77" s="1"/>
    </row>
    <row r="78" spans="1:18" ht="48.75" customHeight="1" thickBot="1">
      <c r="A78" s="69" t="s">
        <v>117</v>
      </c>
      <c r="B78" s="408" t="s">
        <v>118</v>
      </c>
      <c r="C78" s="409"/>
      <c r="D78" s="410"/>
      <c r="E78" s="53">
        <f>E79</f>
        <v>0</v>
      </c>
      <c r="F78" s="73">
        <f>F79</f>
        <v>1000</v>
      </c>
      <c r="G78" s="75">
        <f>G79</f>
        <v>1068.5</v>
      </c>
      <c r="H78" s="55"/>
      <c r="I78" s="55"/>
      <c r="J78" s="55"/>
      <c r="K78" s="55">
        <f>0+J78+G78</f>
        <v>1068.5</v>
      </c>
      <c r="L78" s="55">
        <f>L79</f>
        <v>1068.5</v>
      </c>
      <c r="M78" s="56">
        <f t="shared" si="7"/>
        <v>-1068.5</v>
      </c>
      <c r="N78" s="70">
        <f t="shared" si="7"/>
        <v>-68.5</v>
      </c>
      <c r="O78" s="58">
        <v>0</v>
      </c>
      <c r="P78" s="59">
        <v>0</v>
      </c>
      <c r="Q78" s="1"/>
      <c r="R78" s="1"/>
    </row>
    <row r="79" spans="1:18" ht="15.75" customHeight="1" thickBot="1">
      <c r="A79" s="60" t="s">
        <v>119</v>
      </c>
      <c r="B79" s="405" t="s">
        <v>53</v>
      </c>
      <c r="C79" s="406"/>
      <c r="D79" s="407"/>
      <c r="E79" s="81"/>
      <c r="F79" s="31">
        <f>1000+E79</f>
        <v>1000</v>
      </c>
      <c r="G79" s="74">
        <v>1068.5</v>
      </c>
      <c r="H79" s="33"/>
      <c r="I79" s="33"/>
      <c r="J79" s="33"/>
      <c r="K79" s="33">
        <f>0+J79+G79</f>
        <v>1068.5</v>
      </c>
      <c r="L79" s="33">
        <f>0+K79</f>
        <v>1068.5</v>
      </c>
      <c r="M79" s="34">
        <f>E79-K79</f>
        <v>-1068.5</v>
      </c>
      <c r="N79" s="35">
        <f t="shared" si="7"/>
        <v>-68.5</v>
      </c>
      <c r="O79" s="64">
        <v>0</v>
      </c>
      <c r="P79" s="65">
        <v>0</v>
      </c>
      <c r="Q79" s="1"/>
      <c r="R79" s="1"/>
    </row>
    <row r="80" spans="1:18" ht="24.75" customHeight="1" thickBot="1">
      <c r="A80" s="69" t="s">
        <v>120</v>
      </c>
      <c r="B80" s="408" t="s">
        <v>121</v>
      </c>
      <c r="C80" s="409"/>
      <c r="D80" s="410"/>
      <c r="E80" s="53">
        <f>E81</f>
        <v>0</v>
      </c>
      <c r="F80" s="73">
        <f>F81</f>
        <v>0</v>
      </c>
      <c r="G80" s="75">
        <f>G81+G82</f>
        <v>0</v>
      </c>
      <c r="H80" s="55"/>
      <c r="I80" s="55"/>
      <c r="J80" s="55"/>
      <c r="K80" s="55">
        <f>0+J80+G80</f>
        <v>0</v>
      </c>
      <c r="L80" s="55">
        <f>0+K80</f>
        <v>0</v>
      </c>
      <c r="M80" s="56">
        <f t="shared" si="7"/>
        <v>0</v>
      </c>
      <c r="N80" s="70">
        <f t="shared" si="7"/>
        <v>0</v>
      </c>
      <c r="O80" s="58">
        <v>0</v>
      </c>
      <c r="P80" s="59">
        <v>0</v>
      </c>
      <c r="Q80" s="1"/>
      <c r="R80" s="1"/>
    </row>
    <row r="81" spans="1:18" ht="18.75" customHeight="1" thickBot="1">
      <c r="A81" s="60" t="s">
        <v>122</v>
      </c>
      <c r="B81" s="435" t="s">
        <v>53</v>
      </c>
      <c r="C81" s="436"/>
      <c r="D81" s="490"/>
      <c r="E81" s="81"/>
      <c r="F81" s="31">
        <f>0+E81</f>
        <v>0</v>
      </c>
      <c r="G81" s="89"/>
      <c r="H81" s="90"/>
      <c r="I81" s="91"/>
      <c r="J81" s="90"/>
      <c r="K81" s="33">
        <f>0+J81+G81</f>
        <v>0</v>
      </c>
      <c r="L81" s="33">
        <f>0+K81</f>
        <v>0</v>
      </c>
      <c r="M81" s="34">
        <f t="shared" si="7"/>
        <v>0</v>
      </c>
      <c r="N81" s="35">
        <f t="shared" si="7"/>
        <v>0</v>
      </c>
      <c r="O81" s="64">
        <v>0</v>
      </c>
      <c r="P81" s="65">
        <v>0</v>
      </c>
      <c r="Q81" s="1"/>
      <c r="R81" s="1"/>
    </row>
    <row r="82" spans="1:18" ht="15.75" thickBot="1">
      <c r="A82" s="60" t="s">
        <v>123</v>
      </c>
      <c r="B82" s="435" t="s">
        <v>55</v>
      </c>
      <c r="C82" s="436"/>
      <c r="D82" s="490"/>
      <c r="E82" s="81"/>
      <c r="F82" s="33"/>
      <c r="G82" s="74"/>
      <c r="H82" s="92"/>
      <c r="I82" s="33"/>
      <c r="J82" s="92"/>
      <c r="K82" s="33">
        <f>0+J82</f>
        <v>0</v>
      </c>
      <c r="L82" s="33"/>
      <c r="M82" s="34">
        <f>E82-K82</f>
        <v>0</v>
      </c>
      <c r="N82" s="35">
        <f t="shared" si="7"/>
        <v>0</v>
      </c>
      <c r="O82" s="64">
        <v>0</v>
      </c>
      <c r="P82" s="65">
        <v>0</v>
      </c>
      <c r="Q82" s="1"/>
      <c r="R82" s="1"/>
    </row>
    <row r="83" spans="1:18" ht="15">
      <c r="A83" s="449"/>
      <c r="B83" s="451" t="s">
        <v>43</v>
      </c>
      <c r="C83" s="452"/>
      <c r="D83" s="452"/>
      <c r="E83" s="452"/>
      <c r="F83" s="452"/>
      <c r="G83" s="452"/>
      <c r="H83" s="452"/>
      <c r="I83" s="452"/>
      <c r="J83" s="452"/>
      <c r="K83" s="452"/>
      <c r="L83" s="452"/>
      <c r="M83" s="452"/>
      <c r="N83" s="452"/>
      <c r="O83" s="452"/>
      <c r="P83" s="453"/>
      <c r="Q83" s="1"/>
      <c r="R83" s="1"/>
    </row>
    <row r="84" spans="1:18" ht="15.75" thickBot="1">
      <c r="A84" s="450"/>
      <c r="B84" s="454"/>
      <c r="C84" s="455"/>
      <c r="D84" s="455"/>
      <c r="E84" s="455"/>
      <c r="F84" s="455"/>
      <c r="G84" s="455"/>
      <c r="H84" s="455"/>
      <c r="I84" s="455"/>
      <c r="J84" s="455"/>
      <c r="K84" s="455"/>
      <c r="L84" s="455"/>
      <c r="M84" s="455"/>
      <c r="N84" s="455"/>
      <c r="O84" s="455"/>
      <c r="P84" s="456"/>
      <c r="Q84" s="1"/>
      <c r="R84" s="1"/>
    </row>
    <row r="85" spans="1:18" ht="15.75" thickBot="1">
      <c r="A85" s="449"/>
      <c r="B85" s="364" t="s">
        <v>14</v>
      </c>
      <c r="C85" s="365"/>
      <c r="D85" s="366"/>
      <c r="E85" s="401" t="s">
        <v>24</v>
      </c>
      <c r="F85" s="403" t="s">
        <v>25</v>
      </c>
      <c r="G85" s="338" t="s">
        <v>44</v>
      </c>
      <c r="H85" s="321"/>
      <c r="I85" s="321"/>
      <c r="J85" s="321"/>
      <c r="K85" s="339"/>
      <c r="L85" s="340" t="s">
        <v>16</v>
      </c>
      <c r="M85" s="340" t="s">
        <v>17</v>
      </c>
      <c r="N85" s="340" t="s">
        <v>18</v>
      </c>
      <c r="O85" s="340" t="s">
        <v>19</v>
      </c>
      <c r="P85" s="340" t="s">
        <v>20</v>
      </c>
      <c r="Q85" s="1"/>
      <c r="R85" s="1"/>
    </row>
    <row r="86" spans="1:18" ht="88.5" customHeight="1" thickBot="1">
      <c r="A86" s="450"/>
      <c r="B86" s="367"/>
      <c r="C86" s="368"/>
      <c r="D86" s="369"/>
      <c r="E86" s="402"/>
      <c r="F86" s="404"/>
      <c r="G86" s="143" t="s">
        <v>45</v>
      </c>
      <c r="H86" s="143" t="s">
        <v>46</v>
      </c>
      <c r="I86" s="143" t="s">
        <v>47</v>
      </c>
      <c r="J86" s="7" t="s">
        <v>124</v>
      </c>
      <c r="K86" s="8" t="s">
        <v>27</v>
      </c>
      <c r="L86" s="341"/>
      <c r="M86" s="341"/>
      <c r="N86" s="341"/>
      <c r="O86" s="341"/>
      <c r="P86" s="341"/>
      <c r="Q86" s="1"/>
      <c r="R86" s="1"/>
    </row>
    <row r="87" spans="1:18" ht="15.75" thickBot="1">
      <c r="A87" s="60"/>
      <c r="B87" s="342">
        <v>1</v>
      </c>
      <c r="C87" s="343"/>
      <c r="D87" s="344"/>
      <c r="E87" s="17" t="s">
        <v>22</v>
      </c>
      <c r="F87" s="143">
        <v>3</v>
      </c>
      <c r="G87" s="143">
        <v>4</v>
      </c>
      <c r="H87" s="143">
        <v>5</v>
      </c>
      <c r="I87" s="7">
        <v>6</v>
      </c>
      <c r="J87" s="7">
        <v>7</v>
      </c>
      <c r="K87" s="48">
        <v>8</v>
      </c>
      <c r="L87" s="140">
        <v>9</v>
      </c>
      <c r="M87" s="7">
        <v>10</v>
      </c>
      <c r="N87" s="140">
        <v>11</v>
      </c>
      <c r="O87" s="7">
        <v>12</v>
      </c>
      <c r="P87" s="140">
        <v>13</v>
      </c>
      <c r="Q87" s="1"/>
      <c r="R87" s="1"/>
    </row>
    <row r="88" spans="1:18" ht="43.5" customHeight="1" thickBot="1">
      <c r="A88" s="51" t="s">
        <v>125</v>
      </c>
      <c r="B88" s="408" t="s">
        <v>126</v>
      </c>
      <c r="C88" s="409"/>
      <c r="D88" s="410"/>
      <c r="E88" s="53">
        <f>E89</f>
        <v>29380</v>
      </c>
      <c r="F88" s="73">
        <f>F89+F90+F91+F92</f>
        <v>66760</v>
      </c>
      <c r="G88" s="53">
        <f>G89+G90+G91+G92</f>
        <v>40855.67</v>
      </c>
      <c r="H88" s="55"/>
      <c r="I88" s="55">
        <f>I89+I90+I91</f>
        <v>0</v>
      </c>
      <c r="J88" s="55"/>
      <c r="K88" s="93">
        <f>K89+K90+K91+K92</f>
        <v>40855.67</v>
      </c>
      <c r="L88" s="55">
        <f>L89+L90+L91+L92</f>
        <v>70482.47</v>
      </c>
      <c r="M88" s="56">
        <f aca="true" t="shared" si="8" ref="M88:N103">E88-K88</f>
        <v>-11475.669999999998</v>
      </c>
      <c r="N88" s="70">
        <f t="shared" si="8"/>
        <v>-3722.470000000001</v>
      </c>
      <c r="O88" s="58">
        <v>0</v>
      </c>
      <c r="P88" s="59">
        <v>0</v>
      </c>
      <c r="Q88" s="37"/>
      <c r="R88" s="1"/>
    </row>
    <row r="89" spans="1:18" ht="15.75" thickBot="1">
      <c r="A89" s="60" t="s">
        <v>127</v>
      </c>
      <c r="B89" s="405" t="s">
        <v>53</v>
      </c>
      <c r="C89" s="406"/>
      <c r="D89" s="407"/>
      <c r="E89" s="61">
        <f>E93+E94+E96+E97+E98+E100+E99+E95</f>
        <v>29380</v>
      </c>
      <c r="F89" s="31">
        <f>37380+E89</f>
        <v>66760</v>
      </c>
      <c r="G89" s="45">
        <f>G93+G94+G96+G97+G98+G99+G100</f>
        <v>40855.67</v>
      </c>
      <c r="H89" s="33"/>
      <c r="I89" s="33"/>
      <c r="J89" s="33"/>
      <c r="K89" s="94">
        <f>G89</f>
        <v>40855.67</v>
      </c>
      <c r="L89" s="33">
        <f>L93+L94+L96+L97+L98+L99+L100+L95</f>
        <v>70482.47</v>
      </c>
      <c r="M89" s="34">
        <f t="shared" si="8"/>
        <v>-11475.669999999998</v>
      </c>
      <c r="N89" s="35">
        <f t="shared" si="8"/>
        <v>-3722.470000000001</v>
      </c>
      <c r="O89" s="64">
        <v>0</v>
      </c>
      <c r="P89" s="65">
        <v>0</v>
      </c>
      <c r="Q89" s="37"/>
      <c r="R89" s="1"/>
    </row>
    <row r="90" spans="1:18" ht="15.75" thickBot="1">
      <c r="A90" s="60" t="s">
        <v>128</v>
      </c>
      <c r="B90" s="457" t="s">
        <v>51</v>
      </c>
      <c r="C90" s="458"/>
      <c r="D90" s="459"/>
      <c r="E90" s="61"/>
      <c r="F90" s="31"/>
      <c r="G90" s="45"/>
      <c r="H90" s="33"/>
      <c r="I90" s="33"/>
      <c r="J90" s="33"/>
      <c r="K90" s="94">
        <f aca="true" t="shared" si="9" ref="K90:K99">G90</f>
        <v>0</v>
      </c>
      <c r="L90" s="33"/>
      <c r="M90" s="34">
        <f t="shared" si="8"/>
        <v>0</v>
      </c>
      <c r="N90" s="35">
        <f t="shared" si="8"/>
        <v>0</v>
      </c>
      <c r="O90" s="64">
        <v>0</v>
      </c>
      <c r="P90" s="65">
        <v>0</v>
      </c>
      <c r="Q90" s="37"/>
      <c r="R90" s="1"/>
    </row>
    <row r="91" spans="1:18" ht="15.75" thickBot="1">
      <c r="A91" s="60" t="s">
        <v>129</v>
      </c>
      <c r="B91" s="405" t="s">
        <v>104</v>
      </c>
      <c r="C91" s="406"/>
      <c r="D91" s="407"/>
      <c r="E91" s="61"/>
      <c r="F91" s="31"/>
      <c r="G91" s="45"/>
      <c r="H91" s="33"/>
      <c r="I91" s="33">
        <f>I97</f>
        <v>0</v>
      </c>
      <c r="J91" s="33"/>
      <c r="K91" s="94">
        <f>I91</f>
        <v>0</v>
      </c>
      <c r="L91" s="33">
        <f aca="true" t="shared" si="10" ref="L91:L116">0+K91</f>
        <v>0</v>
      </c>
      <c r="M91" s="34">
        <f t="shared" si="8"/>
        <v>0</v>
      </c>
      <c r="N91" s="35">
        <f t="shared" si="8"/>
        <v>0</v>
      </c>
      <c r="O91" s="64">
        <v>0</v>
      </c>
      <c r="P91" s="65">
        <v>0</v>
      </c>
      <c r="Q91" s="37"/>
      <c r="R91" s="1"/>
    </row>
    <row r="92" spans="1:18" ht="15.75" thickBot="1">
      <c r="A92" s="60" t="s">
        <v>130</v>
      </c>
      <c r="B92" s="405" t="s">
        <v>55</v>
      </c>
      <c r="C92" s="406"/>
      <c r="D92" s="407"/>
      <c r="E92" s="61"/>
      <c r="F92" s="31"/>
      <c r="G92" s="45"/>
      <c r="H92" s="33"/>
      <c r="I92" s="33"/>
      <c r="J92" s="33"/>
      <c r="K92" s="94">
        <f t="shared" si="9"/>
        <v>0</v>
      </c>
      <c r="L92" s="33">
        <f t="shared" si="10"/>
        <v>0</v>
      </c>
      <c r="M92" s="34">
        <f t="shared" si="8"/>
        <v>0</v>
      </c>
      <c r="N92" s="35">
        <f t="shared" si="8"/>
        <v>0</v>
      </c>
      <c r="O92" s="64">
        <v>0</v>
      </c>
      <c r="P92" s="65">
        <v>0</v>
      </c>
      <c r="Q92" s="37"/>
      <c r="R92" s="80"/>
    </row>
    <row r="93" spans="1:18" ht="15.75" thickBot="1">
      <c r="A93" s="60" t="s">
        <v>131</v>
      </c>
      <c r="B93" s="420" t="s">
        <v>132</v>
      </c>
      <c r="C93" s="421"/>
      <c r="D93" s="422"/>
      <c r="E93" s="152">
        <v>3150</v>
      </c>
      <c r="F93" s="31">
        <f>3150+E93</f>
        <v>6300</v>
      </c>
      <c r="G93" s="45"/>
      <c r="H93" s="74"/>
      <c r="I93" s="74"/>
      <c r="J93" s="74"/>
      <c r="K93" s="94">
        <f t="shared" si="9"/>
        <v>0</v>
      </c>
      <c r="L93" s="33">
        <f t="shared" si="10"/>
        <v>0</v>
      </c>
      <c r="M93" s="34">
        <f t="shared" si="8"/>
        <v>3150</v>
      </c>
      <c r="N93" s="35">
        <f t="shared" si="8"/>
        <v>6300</v>
      </c>
      <c r="O93" s="64">
        <v>0</v>
      </c>
      <c r="P93" s="65">
        <v>0</v>
      </c>
      <c r="Q93" s="1"/>
      <c r="R93" s="37"/>
    </row>
    <row r="94" spans="1:18" ht="15.75" thickBot="1">
      <c r="A94" s="60" t="s">
        <v>133</v>
      </c>
      <c r="B94" s="414" t="s">
        <v>134</v>
      </c>
      <c r="C94" s="415"/>
      <c r="D94" s="416"/>
      <c r="E94" s="152">
        <v>4600</v>
      </c>
      <c r="F94" s="31">
        <f>4600+E94</f>
        <v>9200</v>
      </c>
      <c r="G94" s="45"/>
      <c r="H94" s="74"/>
      <c r="I94" s="74"/>
      <c r="J94" s="74"/>
      <c r="K94" s="94">
        <f>G94</f>
        <v>0</v>
      </c>
      <c r="L94" s="33">
        <f>13200+K94</f>
        <v>13200</v>
      </c>
      <c r="M94" s="34">
        <f t="shared" si="8"/>
        <v>4600</v>
      </c>
      <c r="N94" s="35">
        <f t="shared" si="8"/>
        <v>-4000</v>
      </c>
      <c r="O94" s="64">
        <v>0</v>
      </c>
      <c r="P94" s="65">
        <v>0</v>
      </c>
      <c r="Q94" s="1"/>
      <c r="R94" s="1"/>
    </row>
    <row r="95" spans="1:18" ht="30" customHeight="1" thickBot="1">
      <c r="A95" s="60" t="s">
        <v>135</v>
      </c>
      <c r="B95" s="420" t="s">
        <v>136</v>
      </c>
      <c r="C95" s="421"/>
      <c r="D95" s="422"/>
      <c r="E95" s="152"/>
      <c r="F95" s="31">
        <f>0+E95</f>
        <v>0</v>
      </c>
      <c r="G95" s="45"/>
      <c r="H95" s="74"/>
      <c r="I95" s="74"/>
      <c r="J95" s="74"/>
      <c r="K95" s="94">
        <f t="shared" si="9"/>
        <v>0</v>
      </c>
      <c r="L95" s="33">
        <f t="shared" si="10"/>
        <v>0</v>
      </c>
      <c r="M95" s="34">
        <f t="shared" si="8"/>
        <v>0</v>
      </c>
      <c r="N95" s="35">
        <f t="shared" si="8"/>
        <v>0</v>
      </c>
      <c r="O95" s="64">
        <v>0</v>
      </c>
      <c r="P95" s="65">
        <v>0</v>
      </c>
      <c r="Q95" s="1"/>
      <c r="R95" s="1"/>
    </row>
    <row r="96" spans="1:18" ht="27.75" customHeight="1" thickBot="1">
      <c r="A96" s="60" t="s">
        <v>137</v>
      </c>
      <c r="B96" s="420" t="s">
        <v>138</v>
      </c>
      <c r="C96" s="421"/>
      <c r="D96" s="422"/>
      <c r="E96" s="152">
        <v>1420</v>
      </c>
      <c r="F96" s="31">
        <f>1420+E96</f>
        <v>2840</v>
      </c>
      <c r="G96" s="45"/>
      <c r="H96" s="74"/>
      <c r="I96" s="74"/>
      <c r="J96" s="74"/>
      <c r="K96" s="94">
        <f t="shared" si="9"/>
        <v>0</v>
      </c>
      <c r="L96" s="33">
        <f>845+K96</f>
        <v>845</v>
      </c>
      <c r="M96" s="34">
        <f t="shared" si="8"/>
        <v>1420</v>
      </c>
      <c r="N96" s="35">
        <f t="shared" si="8"/>
        <v>1995</v>
      </c>
      <c r="O96" s="64">
        <v>0</v>
      </c>
      <c r="P96" s="65">
        <v>0</v>
      </c>
      <c r="Q96" s="1"/>
      <c r="R96" s="1"/>
    </row>
    <row r="97" spans="1:18" ht="24" customHeight="1" thickBot="1">
      <c r="A97" s="60" t="s">
        <v>139</v>
      </c>
      <c r="B97" s="420" t="s">
        <v>140</v>
      </c>
      <c r="C97" s="421"/>
      <c r="D97" s="422"/>
      <c r="E97" s="152">
        <v>7500</v>
      </c>
      <c r="F97" s="31">
        <f>7500+E97</f>
        <v>15000</v>
      </c>
      <c r="G97" s="45">
        <v>6471.27</v>
      </c>
      <c r="H97" s="74"/>
      <c r="I97" s="74"/>
      <c r="J97" s="74"/>
      <c r="K97" s="94">
        <f>G97+I97</f>
        <v>6471.27</v>
      </c>
      <c r="L97" s="33">
        <f>3439+K97</f>
        <v>9910.27</v>
      </c>
      <c r="M97" s="34">
        <f t="shared" si="8"/>
        <v>1028.7299999999996</v>
      </c>
      <c r="N97" s="35">
        <f t="shared" si="8"/>
        <v>5089.73</v>
      </c>
      <c r="O97" s="64">
        <v>0</v>
      </c>
      <c r="P97" s="65">
        <v>0</v>
      </c>
      <c r="Q97" s="1"/>
      <c r="R97" s="71"/>
    </row>
    <row r="98" spans="1:16" ht="21" customHeight="1" thickBot="1">
      <c r="A98" s="60" t="s">
        <v>141</v>
      </c>
      <c r="B98" s="491" t="s">
        <v>142</v>
      </c>
      <c r="C98" s="492"/>
      <c r="D98" s="493"/>
      <c r="E98" s="152">
        <v>2910</v>
      </c>
      <c r="F98" s="31">
        <f>2910+E98</f>
        <v>5820</v>
      </c>
      <c r="G98" s="45">
        <v>1272</v>
      </c>
      <c r="H98" s="74"/>
      <c r="I98" s="74"/>
      <c r="J98" s="74"/>
      <c r="K98" s="94">
        <f t="shared" si="9"/>
        <v>1272</v>
      </c>
      <c r="L98" s="33">
        <f>2772+K98</f>
        <v>4044</v>
      </c>
      <c r="M98" s="34">
        <f t="shared" si="8"/>
        <v>1638</v>
      </c>
      <c r="N98" s="35">
        <f t="shared" si="8"/>
        <v>1776</v>
      </c>
      <c r="O98" s="64">
        <v>0</v>
      </c>
      <c r="P98" s="65">
        <v>0</v>
      </c>
    </row>
    <row r="99" spans="1:16" ht="30" customHeight="1" thickBot="1">
      <c r="A99" s="60" t="s">
        <v>143</v>
      </c>
      <c r="B99" s="420" t="s">
        <v>144</v>
      </c>
      <c r="C99" s="421"/>
      <c r="D99" s="422"/>
      <c r="E99" s="152"/>
      <c r="F99" s="31">
        <f>8000+E99</f>
        <v>8000</v>
      </c>
      <c r="G99" s="45">
        <v>5000</v>
      </c>
      <c r="H99" s="74"/>
      <c r="I99" s="74"/>
      <c r="J99" s="74"/>
      <c r="K99" s="94">
        <f t="shared" si="9"/>
        <v>5000</v>
      </c>
      <c r="L99" s="33">
        <f t="shared" si="10"/>
        <v>5000</v>
      </c>
      <c r="M99" s="34">
        <f t="shared" si="8"/>
        <v>-5000</v>
      </c>
      <c r="N99" s="35">
        <f t="shared" si="8"/>
        <v>3000</v>
      </c>
      <c r="O99" s="64">
        <v>0</v>
      </c>
      <c r="P99" s="65">
        <v>0</v>
      </c>
    </row>
    <row r="100" spans="1:16" ht="20.25" customHeight="1" thickBot="1">
      <c r="A100" s="60" t="s">
        <v>145</v>
      </c>
      <c r="B100" s="420" t="s">
        <v>146</v>
      </c>
      <c r="C100" s="421"/>
      <c r="D100" s="422"/>
      <c r="E100" s="152">
        <v>9800</v>
      </c>
      <c r="F100" s="31">
        <f>9800+E100</f>
        <v>19600</v>
      </c>
      <c r="G100" s="45">
        <v>28112.4</v>
      </c>
      <c r="H100" s="74"/>
      <c r="I100" s="74"/>
      <c r="J100" s="74"/>
      <c r="K100" s="94">
        <f>G100</f>
        <v>28112.4</v>
      </c>
      <c r="L100" s="33">
        <f>9370.8+K100</f>
        <v>37483.2</v>
      </c>
      <c r="M100" s="34">
        <f t="shared" si="8"/>
        <v>-18312.4</v>
      </c>
      <c r="N100" s="35">
        <f t="shared" si="8"/>
        <v>-17883.199999999997</v>
      </c>
      <c r="O100" s="64">
        <v>0</v>
      </c>
      <c r="P100" s="65">
        <v>0</v>
      </c>
    </row>
    <row r="101" spans="1:18" ht="37.5" customHeight="1" thickBot="1">
      <c r="A101" s="86" t="s">
        <v>147</v>
      </c>
      <c r="B101" s="423" t="s">
        <v>148</v>
      </c>
      <c r="C101" s="424"/>
      <c r="D101" s="425"/>
      <c r="E101" s="73">
        <f>E102+E103</f>
        <v>42200</v>
      </c>
      <c r="F101" s="73">
        <f>F102+F103+F104+F105</f>
        <v>85100</v>
      </c>
      <c r="G101" s="73">
        <f>G102+G104+G105</f>
        <v>3749.3</v>
      </c>
      <c r="H101" s="75">
        <f>H103</f>
        <v>0</v>
      </c>
      <c r="I101" s="55">
        <f>I104</f>
        <v>0</v>
      </c>
      <c r="J101" s="55"/>
      <c r="K101" s="73">
        <f>G101+H101+I101+J101</f>
        <v>3749.3</v>
      </c>
      <c r="L101" s="55">
        <f>L102+L103+L104+L105</f>
        <v>4549.3</v>
      </c>
      <c r="M101" s="56">
        <f t="shared" si="8"/>
        <v>38450.7</v>
      </c>
      <c r="N101" s="70">
        <f t="shared" si="8"/>
        <v>80550.7</v>
      </c>
      <c r="O101" s="58">
        <v>0</v>
      </c>
      <c r="P101" s="59">
        <v>0</v>
      </c>
      <c r="R101" s="95"/>
    </row>
    <row r="102" spans="1:18" ht="15.75" thickBot="1">
      <c r="A102" s="60" t="s">
        <v>149</v>
      </c>
      <c r="B102" s="405" t="s">
        <v>53</v>
      </c>
      <c r="C102" s="406"/>
      <c r="D102" s="407"/>
      <c r="E102" s="61">
        <f>E106+E107+E114+E119+E131+E113+E128+E115+E120</f>
        <v>42200</v>
      </c>
      <c r="F102" s="31">
        <f>42900+E102</f>
        <v>85100</v>
      </c>
      <c r="G102" s="74">
        <f>G106+G107+G108+G109+G110+G111+G112+G113+G114+G115+G116+G117+G118+G119+G126+G127+G128+G129+G130+G131+G120</f>
        <v>3749.3</v>
      </c>
      <c r="H102" s="74"/>
      <c r="I102" s="33"/>
      <c r="J102" s="33"/>
      <c r="K102" s="94">
        <f>G102</f>
        <v>3749.3</v>
      </c>
      <c r="L102" s="33">
        <f>800+K102</f>
        <v>4549.3</v>
      </c>
      <c r="M102" s="34">
        <f t="shared" si="8"/>
        <v>38450.7</v>
      </c>
      <c r="N102" s="35">
        <f t="shared" si="8"/>
        <v>80550.7</v>
      </c>
      <c r="O102" s="64">
        <v>0</v>
      </c>
      <c r="P102" s="65">
        <v>0</v>
      </c>
      <c r="R102" s="95"/>
    </row>
    <row r="103" spans="1:18" ht="15.75" thickBot="1">
      <c r="A103" s="60" t="s">
        <v>150</v>
      </c>
      <c r="B103" s="457" t="s">
        <v>51</v>
      </c>
      <c r="C103" s="458"/>
      <c r="D103" s="459"/>
      <c r="E103" s="61">
        <f>E129</f>
        <v>0</v>
      </c>
      <c r="F103" s="31">
        <f>0+E103</f>
        <v>0</v>
      </c>
      <c r="G103" s="74"/>
      <c r="H103" s="74">
        <f>H129</f>
        <v>0</v>
      </c>
      <c r="I103" s="33"/>
      <c r="J103" s="33"/>
      <c r="K103" s="94">
        <f>H103</f>
        <v>0</v>
      </c>
      <c r="L103" s="33">
        <f>0+K103</f>
        <v>0</v>
      </c>
      <c r="M103" s="34">
        <f t="shared" si="8"/>
        <v>0</v>
      </c>
      <c r="N103" s="35">
        <f t="shared" si="8"/>
        <v>0</v>
      </c>
      <c r="O103" s="64">
        <v>0</v>
      </c>
      <c r="P103" s="65">
        <v>0</v>
      </c>
      <c r="R103" s="96"/>
    </row>
    <row r="104" spans="1:16" ht="15.75" thickBot="1">
      <c r="A104" s="60" t="s">
        <v>151</v>
      </c>
      <c r="B104" s="405" t="s">
        <v>104</v>
      </c>
      <c r="C104" s="406"/>
      <c r="D104" s="407"/>
      <c r="E104" s="61"/>
      <c r="F104" s="31"/>
      <c r="G104" s="31"/>
      <c r="H104" s="74"/>
      <c r="I104" s="33">
        <f>I128+I117+I131</f>
        <v>0</v>
      </c>
      <c r="J104" s="33"/>
      <c r="K104" s="94">
        <f>I104</f>
        <v>0</v>
      </c>
      <c r="L104" s="33">
        <f>0+K104</f>
        <v>0</v>
      </c>
      <c r="M104" s="34">
        <f aca="true" t="shared" si="11" ref="M104:N120">E104-K104</f>
        <v>0</v>
      </c>
      <c r="N104" s="35">
        <f t="shared" si="11"/>
        <v>0</v>
      </c>
      <c r="O104" s="64">
        <v>0</v>
      </c>
      <c r="P104" s="65">
        <v>0</v>
      </c>
    </row>
    <row r="105" spans="1:18" ht="15.75" thickBot="1">
      <c r="A105" s="60" t="s">
        <v>152</v>
      </c>
      <c r="B105" s="457" t="s">
        <v>55</v>
      </c>
      <c r="C105" s="458"/>
      <c r="D105" s="459"/>
      <c r="E105" s="61"/>
      <c r="F105" s="31"/>
      <c r="G105" s="74"/>
      <c r="H105" s="74"/>
      <c r="I105" s="33"/>
      <c r="J105" s="33"/>
      <c r="K105" s="94">
        <f>G105</f>
        <v>0</v>
      </c>
      <c r="L105" s="33">
        <f t="shared" si="10"/>
        <v>0</v>
      </c>
      <c r="M105" s="34">
        <f t="shared" si="11"/>
        <v>0</v>
      </c>
      <c r="N105" s="35">
        <f t="shared" si="11"/>
        <v>0</v>
      </c>
      <c r="O105" s="64">
        <v>0</v>
      </c>
      <c r="P105" s="65">
        <v>0</v>
      </c>
      <c r="R105" s="95"/>
    </row>
    <row r="106" spans="1:16" ht="24.75" customHeight="1" thickBot="1">
      <c r="A106" s="60" t="s">
        <v>153</v>
      </c>
      <c r="B106" s="460" t="s">
        <v>154</v>
      </c>
      <c r="C106" s="461"/>
      <c r="D106" s="462"/>
      <c r="E106" s="31"/>
      <c r="F106" s="31">
        <f>20000+E106</f>
        <v>20000</v>
      </c>
      <c r="G106" s="74"/>
      <c r="H106" s="74"/>
      <c r="I106" s="74"/>
      <c r="J106" s="74"/>
      <c r="K106" s="94">
        <f aca="true" t="shared" si="12" ref="K106:K120">G106</f>
        <v>0</v>
      </c>
      <c r="L106" s="33">
        <f>0+K106</f>
        <v>0</v>
      </c>
      <c r="M106" s="34">
        <f t="shared" si="11"/>
        <v>0</v>
      </c>
      <c r="N106" s="35">
        <f t="shared" si="11"/>
        <v>20000</v>
      </c>
      <c r="O106" s="64">
        <v>0</v>
      </c>
      <c r="P106" s="65">
        <v>0</v>
      </c>
    </row>
    <row r="107" spans="1:16" ht="33" customHeight="1" thickBot="1">
      <c r="A107" s="60" t="s">
        <v>155</v>
      </c>
      <c r="B107" s="420" t="s">
        <v>156</v>
      </c>
      <c r="C107" s="421"/>
      <c r="D107" s="422"/>
      <c r="E107" s="31"/>
      <c r="F107" s="31">
        <f>11200+E107</f>
        <v>11200</v>
      </c>
      <c r="G107" s="74"/>
      <c r="H107" s="74"/>
      <c r="I107" s="74"/>
      <c r="J107" s="74"/>
      <c r="K107" s="94">
        <f t="shared" si="12"/>
        <v>0</v>
      </c>
      <c r="L107" s="33">
        <f t="shared" si="10"/>
        <v>0</v>
      </c>
      <c r="M107" s="34">
        <f t="shared" si="11"/>
        <v>0</v>
      </c>
      <c r="N107" s="35">
        <f t="shared" si="11"/>
        <v>11200</v>
      </c>
      <c r="O107" s="64">
        <v>0</v>
      </c>
      <c r="P107" s="65">
        <v>0</v>
      </c>
    </row>
    <row r="108" spans="1:16" ht="27" customHeight="1" thickBot="1">
      <c r="A108" s="60" t="s">
        <v>157</v>
      </c>
      <c r="B108" s="466" t="s">
        <v>158</v>
      </c>
      <c r="C108" s="467"/>
      <c r="D108" s="468"/>
      <c r="E108" s="31"/>
      <c r="F108" s="31"/>
      <c r="G108" s="74"/>
      <c r="H108" s="74"/>
      <c r="I108" s="74"/>
      <c r="J108" s="74"/>
      <c r="K108" s="94">
        <f t="shared" si="12"/>
        <v>0</v>
      </c>
      <c r="L108" s="33">
        <f t="shared" si="10"/>
        <v>0</v>
      </c>
      <c r="M108" s="34">
        <f t="shared" si="11"/>
        <v>0</v>
      </c>
      <c r="N108" s="35">
        <f t="shared" si="11"/>
        <v>0</v>
      </c>
      <c r="O108" s="64">
        <v>0</v>
      </c>
      <c r="P108" s="65">
        <v>0</v>
      </c>
    </row>
    <row r="109" spans="1:16" ht="26.25" customHeight="1" thickBot="1">
      <c r="A109" s="60" t="s">
        <v>159</v>
      </c>
      <c r="B109" s="420" t="s">
        <v>160</v>
      </c>
      <c r="C109" s="421"/>
      <c r="D109" s="422"/>
      <c r="E109" s="31"/>
      <c r="F109" s="31"/>
      <c r="G109" s="74"/>
      <c r="H109" s="74"/>
      <c r="I109" s="74"/>
      <c r="J109" s="74"/>
      <c r="K109" s="94">
        <f t="shared" si="12"/>
        <v>0</v>
      </c>
      <c r="L109" s="33">
        <f t="shared" si="10"/>
        <v>0</v>
      </c>
      <c r="M109" s="34">
        <f t="shared" si="11"/>
        <v>0</v>
      </c>
      <c r="N109" s="35">
        <f t="shared" si="11"/>
        <v>0</v>
      </c>
      <c r="O109" s="64">
        <v>0</v>
      </c>
      <c r="P109" s="65">
        <v>0</v>
      </c>
    </row>
    <row r="110" spans="1:18" ht="30.75" customHeight="1" thickBot="1">
      <c r="A110" s="60" t="s">
        <v>161</v>
      </c>
      <c r="B110" s="420" t="s">
        <v>162</v>
      </c>
      <c r="C110" s="421"/>
      <c r="D110" s="422"/>
      <c r="E110" s="31"/>
      <c r="F110" s="31"/>
      <c r="G110" s="74"/>
      <c r="H110" s="74"/>
      <c r="I110" s="74"/>
      <c r="J110" s="74"/>
      <c r="K110" s="94">
        <f t="shared" si="12"/>
        <v>0</v>
      </c>
      <c r="L110" s="33">
        <f t="shared" si="10"/>
        <v>0</v>
      </c>
      <c r="M110" s="34">
        <f t="shared" si="11"/>
        <v>0</v>
      </c>
      <c r="N110" s="35">
        <f t="shared" si="11"/>
        <v>0</v>
      </c>
      <c r="O110" s="64">
        <v>0</v>
      </c>
      <c r="P110" s="65">
        <v>0</v>
      </c>
      <c r="R110" s="96"/>
    </row>
    <row r="111" spans="1:16" ht="27" customHeight="1" thickBot="1">
      <c r="A111" s="60" t="s">
        <v>163</v>
      </c>
      <c r="B111" s="466" t="s">
        <v>164</v>
      </c>
      <c r="C111" s="467"/>
      <c r="D111" s="468"/>
      <c r="E111" s="31"/>
      <c r="F111" s="31"/>
      <c r="G111" s="74"/>
      <c r="H111" s="74"/>
      <c r="I111" s="74"/>
      <c r="J111" s="74"/>
      <c r="K111" s="94">
        <f t="shared" si="12"/>
        <v>0</v>
      </c>
      <c r="L111" s="33">
        <f t="shared" si="10"/>
        <v>0</v>
      </c>
      <c r="M111" s="34">
        <f t="shared" si="11"/>
        <v>0</v>
      </c>
      <c r="N111" s="35">
        <f t="shared" si="11"/>
        <v>0</v>
      </c>
      <c r="O111" s="64">
        <v>0</v>
      </c>
      <c r="P111" s="65">
        <v>0</v>
      </c>
    </row>
    <row r="112" spans="1:16" ht="31.5" customHeight="1" thickBot="1">
      <c r="A112" s="60" t="s">
        <v>165</v>
      </c>
      <c r="B112" s="420" t="s">
        <v>166</v>
      </c>
      <c r="C112" s="421"/>
      <c r="D112" s="422"/>
      <c r="E112" s="31"/>
      <c r="F112" s="31"/>
      <c r="G112" s="74"/>
      <c r="H112" s="74"/>
      <c r="I112" s="74"/>
      <c r="J112" s="74"/>
      <c r="K112" s="94">
        <f t="shared" si="12"/>
        <v>0</v>
      </c>
      <c r="L112" s="33">
        <f t="shared" si="10"/>
        <v>0</v>
      </c>
      <c r="M112" s="34">
        <f t="shared" si="11"/>
        <v>0</v>
      </c>
      <c r="N112" s="35">
        <f t="shared" si="11"/>
        <v>0</v>
      </c>
      <c r="O112" s="64">
        <v>0</v>
      </c>
      <c r="P112" s="65">
        <v>0</v>
      </c>
    </row>
    <row r="113" spans="1:16" ht="21.75" customHeight="1" thickBot="1">
      <c r="A113" s="60" t="s">
        <v>167</v>
      </c>
      <c r="B113" s="420" t="s">
        <v>168</v>
      </c>
      <c r="C113" s="421"/>
      <c r="D113" s="422"/>
      <c r="E113" s="31">
        <v>40000</v>
      </c>
      <c r="F113" s="31"/>
      <c r="G113" s="74"/>
      <c r="H113" s="74"/>
      <c r="I113" s="74"/>
      <c r="J113" s="74"/>
      <c r="K113" s="94">
        <f t="shared" si="12"/>
        <v>0</v>
      </c>
      <c r="L113" s="33">
        <f>0+K113</f>
        <v>0</v>
      </c>
      <c r="M113" s="34">
        <f t="shared" si="11"/>
        <v>40000</v>
      </c>
      <c r="N113" s="35">
        <f t="shared" si="11"/>
        <v>0</v>
      </c>
      <c r="O113" s="64">
        <v>0</v>
      </c>
      <c r="P113" s="65">
        <v>0</v>
      </c>
    </row>
    <row r="114" spans="1:16" ht="30.75" customHeight="1" thickBot="1">
      <c r="A114" s="60" t="s">
        <v>169</v>
      </c>
      <c r="B114" s="420" t="s">
        <v>170</v>
      </c>
      <c r="C114" s="421"/>
      <c r="D114" s="422"/>
      <c r="E114" s="31">
        <v>1000</v>
      </c>
      <c r="F114" s="31">
        <f>1000+E114</f>
        <v>2000</v>
      </c>
      <c r="G114" s="74">
        <v>1090.48</v>
      </c>
      <c r="H114" s="74"/>
      <c r="I114" s="74"/>
      <c r="J114" s="74"/>
      <c r="K114" s="94">
        <f t="shared" si="12"/>
        <v>1090.48</v>
      </c>
      <c r="L114" s="33">
        <f>0+K114</f>
        <v>1090.48</v>
      </c>
      <c r="M114" s="34">
        <f t="shared" si="11"/>
        <v>-90.48000000000002</v>
      </c>
      <c r="N114" s="35">
        <f t="shared" si="11"/>
        <v>909.52</v>
      </c>
      <c r="O114" s="64">
        <v>0</v>
      </c>
      <c r="P114" s="65">
        <v>0</v>
      </c>
    </row>
    <row r="115" spans="1:16" ht="27.75" customHeight="1" thickBot="1">
      <c r="A115" s="60" t="s">
        <v>171</v>
      </c>
      <c r="B115" s="420" t="s">
        <v>172</v>
      </c>
      <c r="C115" s="421"/>
      <c r="D115" s="422"/>
      <c r="E115" s="31"/>
      <c r="F115" s="31">
        <f>4000+E115</f>
        <v>4000</v>
      </c>
      <c r="G115" s="74"/>
      <c r="H115" s="74"/>
      <c r="I115" s="74"/>
      <c r="J115" s="74"/>
      <c r="K115" s="94">
        <f t="shared" si="12"/>
        <v>0</v>
      </c>
      <c r="L115" s="33">
        <f t="shared" si="10"/>
        <v>0</v>
      </c>
      <c r="M115" s="34">
        <f t="shared" si="11"/>
        <v>0</v>
      </c>
      <c r="N115" s="35">
        <f t="shared" si="11"/>
        <v>4000</v>
      </c>
      <c r="O115" s="64">
        <v>0</v>
      </c>
      <c r="P115" s="65">
        <v>0</v>
      </c>
    </row>
    <row r="116" spans="1:16" ht="27" customHeight="1" thickBot="1">
      <c r="A116" s="60" t="s">
        <v>173</v>
      </c>
      <c r="B116" s="420" t="s">
        <v>174</v>
      </c>
      <c r="C116" s="421"/>
      <c r="D116" s="422"/>
      <c r="E116" s="31"/>
      <c r="F116" s="31"/>
      <c r="G116" s="74"/>
      <c r="H116" s="74"/>
      <c r="I116" s="74"/>
      <c r="J116" s="74"/>
      <c r="K116" s="94">
        <f t="shared" si="12"/>
        <v>0</v>
      </c>
      <c r="L116" s="33">
        <f t="shared" si="10"/>
        <v>0</v>
      </c>
      <c r="M116" s="34">
        <f t="shared" si="11"/>
        <v>0</v>
      </c>
      <c r="N116" s="35">
        <f t="shared" si="11"/>
        <v>0</v>
      </c>
      <c r="O116" s="64">
        <v>0</v>
      </c>
      <c r="P116" s="65">
        <v>0</v>
      </c>
    </row>
    <row r="117" spans="1:16" ht="26.25" customHeight="1" thickBot="1">
      <c r="A117" s="60"/>
      <c r="B117" s="420" t="s">
        <v>175</v>
      </c>
      <c r="C117" s="421"/>
      <c r="D117" s="422"/>
      <c r="E117" s="31"/>
      <c r="F117" s="31"/>
      <c r="G117" s="74"/>
      <c r="H117" s="74"/>
      <c r="I117" s="74"/>
      <c r="J117" s="74"/>
      <c r="K117" s="94">
        <f>I117</f>
        <v>0</v>
      </c>
      <c r="L117" s="33">
        <f>0+K117</f>
        <v>0</v>
      </c>
      <c r="M117" s="34">
        <f t="shared" si="11"/>
        <v>0</v>
      </c>
      <c r="N117" s="35">
        <f t="shared" si="11"/>
        <v>0</v>
      </c>
      <c r="O117" s="64">
        <v>0</v>
      </c>
      <c r="P117" s="65">
        <v>0</v>
      </c>
    </row>
    <row r="118" spans="1:16" ht="30.75" customHeight="1" thickBot="1">
      <c r="A118" s="60" t="s">
        <v>176</v>
      </c>
      <c r="B118" s="420" t="s">
        <v>177</v>
      </c>
      <c r="C118" s="421"/>
      <c r="D118" s="422"/>
      <c r="E118" s="31"/>
      <c r="F118" s="31"/>
      <c r="G118" s="74">
        <v>1079.82</v>
      </c>
      <c r="H118" s="74"/>
      <c r="I118" s="74"/>
      <c r="J118" s="74"/>
      <c r="K118" s="94">
        <f>G118</f>
        <v>1079.82</v>
      </c>
      <c r="L118" s="33">
        <f>0+K118</f>
        <v>1079.82</v>
      </c>
      <c r="M118" s="34">
        <f t="shared" si="11"/>
        <v>-1079.82</v>
      </c>
      <c r="N118" s="35">
        <f t="shared" si="11"/>
        <v>-1079.82</v>
      </c>
      <c r="O118" s="64">
        <v>0</v>
      </c>
      <c r="P118" s="65">
        <v>0</v>
      </c>
    </row>
    <row r="119" spans="1:18" ht="29.25" customHeight="1" thickBot="1">
      <c r="A119" s="60" t="s">
        <v>178</v>
      </c>
      <c r="B119" s="463" t="s">
        <v>179</v>
      </c>
      <c r="C119" s="464"/>
      <c r="D119" s="465"/>
      <c r="E119" s="31"/>
      <c r="F119" s="31"/>
      <c r="G119" s="74"/>
      <c r="H119" s="74"/>
      <c r="I119" s="74"/>
      <c r="J119" s="74"/>
      <c r="K119" s="94">
        <f>G119</f>
        <v>0</v>
      </c>
      <c r="L119" s="33">
        <f>0+K119</f>
        <v>0</v>
      </c>
      <c r="M119" s="34">
        <f t="shared" si="11"/>
        <v>0</v>
      </c>
      <c r="N119" s="35">
        <f t="shared" si="11"/>
        <v>0</v>
      </c>
      <c r="O119" s="64">
        <v>0</v>
      </c>
      <c r="P119" s="65">
        <v>0</v>
      </c>
      <c r="R119" s="96"/>
    </row>
    <row r="120" spans="1:16" ht="29.25" customHeight="1" thickBot="1">
      <c r="A120" s="97" t="s">
        <v>180</v>
      </c>
      <c r="B120" s="420" t="s">
        <v>181</v>
      </c>
      <c r="C120" s="421"/>
      <c r="D120" s="422"/>
      <c r="E120" s="31">
        <v>1200</v>
      </c>
      <c r="F120" s="31">
        <f>700+E120</f>
        <v>1900</v>
      </c>
      <c r="G120" s="74">
        <v>400</v>
      </c>
      <c r="H120" s="74"/>
      <c r="I120" s="74"/>
      <c r="J120" s="74"/>
      <c r="K120" s="94">
        <f t="shared" si="12"/>
        <v>400</v>
      </c>
      <c r="L120" s="33">
        <f>800+K120</f>
        <v>1200</v>
      </c>
      <c r="M120" s="34">
        <f t="shared" si="11"/>
        <v>800</v>
      </c>
      <c r="N120" s="35">
        <f t="shared" si="11"/>
        <v>700</v>
      </c>
      <c r="O120" s="64">
        <v>0</v>
      </c>
      <c r="P120" s="65">
        <v>0</v>
      </c>
    </row>
    <row r="121" spans="1:16" ht="15">
      <c r="A121" s="98"/>
      <c r="B121" s="396" t="s">
        <v>43</v>
      </c>
      <c r="C121" s="396"/>
      <c r="D121" s="396"/>
      <c r="E121" s="396"/>
      <c r="F121" s="396"/>
      <c r="G121" s="396"/>
      <c r="H121" s="396"/>
      <c r="I121" s="396"/>
      <c r="J121" s="396"/>
      <c r="K121" s="396"/>
      <c r="L121" s="396"/>
      <c r="M121" s="396"/>
      <c r="N121" s="396"/>
      <c r="O121" s="396"/>
      <c r="P121" s="397"/>
    </row>
    <row r="122" spans="1:16" ht="6.75" customHeight="1" thickBot="1">
      <c r="A122" s="99"/>
      <c r="B122" s="399"/>
      <c r="C122" s="399"/>
      <c r="D122" s="399"/>
      <c r="E122" s="399"/>
      <c r="F122" s="399"/>
      <c r="G122" s="399"/>
      <c r="H122" s="399"/>
      <c r="I122" s="399"/>
      <c r="J122" s="399"/>
      <c r="K122" s="399"/>
      <c r="L122" s="399"/>
      <c r="M122" s="399"/>
      <c r="N122" s="399"/>
      <c r="O122" s="399"/>
      <c r="P122" s="400"/>
    </row>
    <row r="123" spans="1:16" ht="15.75" thickBot="1">
      <c r="A123" s="100"/>
      <c r="B123" s="471" t="s">
        <v>14</v>
      </c>
      <c r="C123" s="472"/>
      <c r="D123" s="473"/>
      <c r="E123" s="477" t="s">
        <v>24</v>
      </c>
      <c r="F123" s="479" t="s">
        <v>25</v>
      </c>
      <c r="G123" s="481" t="s">
        <v>44</v>
      </c>
      <c r="H123" s="482"/>
      <c r="I123" s="482"/>
      <c r="J123" s="482"/>
      <c r="K123" s="483"/>
      <c r="L123" s="469" t="s">
        <v>16</v>
      </c>
      <c r="M123" s="469" t="s">
        <v>17</v>
      </c>
      <c r="N123" s="469" t="s">
        <v>18</v>
      </c>
      <c r="O123" s="469" t="s">
        <v>19</v>
      </c>
      <c r="P123" s="469" t="s">
        <v>20</v>
      </c>
    </row>
    <row r="124" spans="1:16" ht="75" customHeight="1" thickBot="1">
      <c r="A124" s="146"/>
      <c r="B124" s="474"/>
      <c r="C124" s="475"/>
      <c r="D124" s="476"/>
      <c r="E124" s="478"/>
      <c r="F124" s="480"/>
      <c r="G124" s="102" t="s">
        <v>45</v>
      </c>
      <c r="H124" s="102" t="s">
        <v>46</v>
      </c>
      <c r="I124" s="102" t="s">
        <v>47</v>
      </c>
      <c r="J124" s="103" t="s">
        <v>48</v>
      </c>
      <c r="K124" s="104" t="s">
        <v>27</v>
      </c>
      <c r="L124" s="470"/>
      <c r="M124" s="470"/>
      <c r="N124" s="470"/>
      <c r="O124" s="470"/>
      <c r="P124" s="470"/>
    </row>
    <row r="125" spans="1:16" ht="15.75" thickBot="1">
      <c r="A125" s="105"/>
      <c r="B125" s="342">
        <v>1</v>
      </c>
      <c r="C125" s="343"/>
      <c r="D125" s="344"/>
      <c r="E125" s="17" t="s">
        <v>22</v>
      </c>
      <c r="F125" s="143">
        <v>3</v>
      </c>
      <c r="G125" s="143">
        <v>4</v>
      </c>
      <c r="H125" s="143">
        <v>5</v>
      </c>
      <c r="I125" s="7">
        <v>6</v>
      </c>
      <c r="J125" s="7">
        <v>7</v>
      </c>
      <c r="K125" s="48">
        <v>8</v>
      </c>
      <c r="L125" s="140">
        <v>9</v>
      </c>
      <c r="M125" s="7">
        <v>10</v>
      </c>
      <c r="N125" s="140">
        <v>11</v>
      </c>
      <c r="O125" s="7">
        <v>12</v>
      </c>
      <c r="P125" s="140">
        <v>13</v>
      </c>
    </row>
    <row r="126" spans="1:16" ht="41.25" thickBot="1">
      <c r="A126" s="106" t="s">
        <v>182</v>
      </c>
      <c r="B126" s="411" t="s">
        <v>183</v>
      </c>
      <c r="C126" s="412"/>
      <c r="D126" s="413"/>
      <c r="E126" s="31"/>
      <c r="F126" s="31"/>
      <c r="G126" s="74"/>
      <c r="H126" s="74"/>
      <c r="I126" s="74"/>
      <c r="J126" s="74"/>
      <c r="K126" s="94">
        <f aca="true" t="shared" si="13" ref="K126:K140">G126</f>
        <v>0</v>
      </c>
      <c r="L126" s="33">
        <f>0+K126</f>
        <v>0</v>
      </c>
      <c r="M126" s="34">
        <f aca="true" t="shared" si="14" ref="M126:N141">E126-K126</f>
        <v>0</v>
      </c>
      <c r="N126" s="35">
        <f t="shared" si="14"/>
        <v>0</v>
      </c>
      <c r="O126" s="64">
        <v>0</v>
      </c>
      <c r="P126" s="65">
        <v>0</v>
      </c>
    </row>
    <row r="127" spans="1:16" ht="41.25" thickBot="1">
      <c r="A127" s="107" t="s">
        <v>184</v>
      </c>
      <c r="B127" s="426" t="s">
        <v>185</v>
      </c>
      <c r="C127" s="427"/>
      <c r="D127" s="428"/>
      <c r="E127" s="31"/>
      <c r="F127" s="31"/>
      <c r="G127" s="74"/>
      <c r="H127" s="74"/>
      <c r="I127" s="74"/>
      <c r="J127" s="74"/>
      <c r="K127" s="94">
        <f t="shared" si="13"/>
        <v>0</v>
      </c>
      <c r="L127" s="33">
        <f>0+K127</f>
        <v>0</v>
      </c>
      <c r="M127" s="34">
        <f t="shared" si="14"/>
        <v>0</v>
      </c>
      <c r="N127" s="35">
        <f t="shared" si="14"/>
        <v>0</v>
      </c>
      <c r="O127" s="64">
        <v>0</v>
      </c>
      <c r="P127" s="65">
        <v>0</v>
      </c>
    </row>
    <row r="128" spans="1:16" ht="45.75" thickBot="1">
      <c r="A128" s="108" t="s">
        <v>186</v>
      </c>
      <c r="B128" s="426" t="s">
        <v>187</v>
      </c>
      <c r="C128" s="427"/>
      <c r="D128" s="428"/>
      <c r="E128" s="31"/>
      <c r="F128" s="31">
        <f>0+E128</f>
        <v>0</v>
      </c>
      <c r="G128" s="74">
        <v>1179</v>
      </c>
      <c r="H128" s="74"/>
      <c r="I128" s="74"/>
      <c r="J128" s="74"/>
      <c r="K128" s="94">
        <f>I128+G128</f>
        <v>1179</v>
      </c>
      <c r="L128" s="33">
        <f>0+K128</f>
        <v>1179</v>
      </c>
      <c r="M128" s="34">
        <f t="shared" si="14"/>
        <v>-1179</v>
      </c>
      <c r="N128" s="35">
        <f t="shared" si="14"/>
        <v>-1179</v>
      </c>
      <c r="O128" s="64">
        <v>0</v>
      </c>
      <c r="P128" s="65">
        <v>0</v>
      </c>
    </row>
    <row r="129" spans="1:16" ht="44.25" customHeight="1" thickBot="1">
      <c r="A129" s="108" t="s">
        <v>188</v>
      </c>
      <c r="B129" s="426" t="s">
        <v>189</v>
      </c>
      <c r="C129" s="427"/>
      <c r="D129" s="428"/>
      <c r="E129" s="31"/>
      <c r="F129" s="31">
        <f>0+E129</f>
        <v>0</v>
      </c>
      <c r="G129" s="74"/>
      <c r="H129" s="74"/>
      <c r="I129" s="74"/>
      <c r="J129" s="74"/>
      <c r="K129" s="94">
        <f>H129</f>
        <v>0</v>
      </c>
      <c r="L129" s="33">
        <f>0+K129</f>
        <v>0</v>
      </c>
      <c r="M129" s="34">
        <f t="shared" si="14"/>
        <v>0</v>
      </c>
      <c r="N129" s="35">
        <f t="shared" si="14"/>
        <v>0</v>
      </c>
      <c r="O129" s="64">
        <v>0</v>
      </c>
      <c r="P129" s="65">
        <v>0</v>
      </c>
    </row>
    <row r="130" spans="1:16" ht="35.25" customHeight="1" thickBot="1">
      <c r="A130" s="109" t="s">
        <v>190</v>
      </c>
      <c r="B130" s="426" t="s">
        <v>191</v>
      </c>
      <c r="C130" s="427"/>
      <c r="D130" s="428"/>
      <c r="E130" s="31"/>
      <c r="F130" s="31"/>
      <c r="G130" s="74"/>
      <c r="H130" s="74"/>
      <c r="I130" s="74"/>
      <c r="J130" s="74"/>
      <c r="K130" s="94">
        <f>G130</f>
        <v>0</v>
      </c>
      <c r="L130" s="33">
        <f>0+K130</f>
        <v>0</v>
      </c>
      <c r="M130" s="34">
        <f t="shared" si="14"/>
        <v>0</v>
      </c>
      <c r="N130" s="35">
        <f t="shared" si="14"/>
        <v>0</v>
      </c>
      <c r="O130" s="64">
        <v>0</v>
      </c>
      <c r="P130" s="65">
        <v>0</v>
      </c>
    </row>
    <row r="131" spans="1:16" ht="41.25" customHeight="1" thickBot="1">
      <c r="A131" s="109" t="s">
        <v>192</v>
      </c>
      <c r="B131" s="494" t="s">
        <v>193</v>
      </c>
      <c r="C131" s="495"/>
      <c r="D131" s="496"/>
      <c r="E131" s="31"/>
      <c r="F131" s="31">
        <f>6000+E131</f>
        <v>6000</v>
      </c>
      <c r="G131" s="74"/>
      <c r="H131" s="74"/>
      <c r="I131" s="74"/>
      <c r="J131" s="74"/>
      <c r="K131" s="94">
        <f>G131+I131</f>
        <v>0</v>
      </c>
      <c r="L131" s="33">
        <f>0+K131</f>
        <v>0</v>
      </c>
      <c r="M131" s="34">
        <f t="shared" si="14"/>
        <v>0</v>
      </c>
      <c r="N131" s="35">
        <f t="shared" si="14"/>
        <v>6000</v>
      </c>
      <c r="O131" s="64">
        <v>0</v>
      </c>
      <c r="P131" s="65">
        <v>0</v>
      </c>
    </row>
    <row r="132" spans="1:19" ht="36.75" customHeight="1" thickBot="1">
      <c r="A132" s="110">
        <v>15</v>
      </c>
      <c r="B132" s="418" t="s">
        <v>194</v>
      </c>
      <c r="C132" s="418"/>
      <c r="D132" s="419"/>
      <c r="E132" s="73">
        <f>E133+E134</f>
        <v>0</v>
      </c>
      <c r="F132" s="73">
        <f>F133</f>
        <v>15000</v>
      </c>
      <c r="G132" s="75">
        <f>G133+G134</f>
        <v>0</v>
      </c>
      <c r="H132" s="74"/>
      <c r="I132" s="74"/>
      <c r="J132" s="74"/>
      <c r="K132" s="93">
        <f t="shared" si="13"/>
        <v>0</v>
      </c>
      <c r="L132" s="55">
        <f>L133+L134</f>
        <v>9999.82</v>
      </c>
      <c r="M132" s="56">
        <f t="shared" si="14"/>
        <v>0</v>
      </c>
      <c r="N132" s="70">
        <f t="shared" si="14"/>
        <v>5000.18</v>
      </c>
      <c r="O132" s="58">
        <v>0</v>
      </c>
      <c r="P132" s="59">
        <v>0</v>
      </c>
      <c r="Q132" s="1"/>
      <c r="R132" s="1"/>
      <c r="S132" s="1"/>
    </row>
    <row r="133" spans="1:19" ht="29.25" customHeight="1" thickBot="1">
      <c r="A133" s="60" t="s">
        <v>195</v>
      </c>
      <c r="B133" s="405" t="s">
        <v>53</v>
      </c>
      <c r="C133" s="406"/>
      <c r="D133" s="407"/>
      <c r="E133" s="61"/>
      <c r="F133" s="31">
        <f>15000+E133</f>
        <v>15000</v>
      </c>
      <c r="G133" s="74"/>
      <c r="H133" s="74"/>
      <c r="I133" s="74"/>
      <c r="J133" s="74"/>
      <c r="K133" s="94">
        <f t="shared" si="13"/>
        <v>0</v>
      </c>
      <c r="L133" s="33">
        <f>9999.82+K133</f>
        <v>9999.82</v>
      </c>
      <c r="M133" s="34">
        <f t="shared" si="14"/>
        <v>0</v>
      </c>
      <c r="N133" s="35">
        <f t="shared" si="14"/>
        <v>5000.18</v>
      </c>
      <c r="O133" s="64">
        <v>0</v>
      </c>
      <c r="P133" s="65">
        <v>0</v>
      </c>
      <c r="Q133" s="1"/>
      <c r="R133" s="1"/>
      <c r="S133" s="1"/>
    </row>
    <row r="134" spans="1:19" ht="32.25" customHeight="1" thickBot="1">
      <c r="A134" s="60" t="s">
        <v>196</v>
      </c>
      <c r="B134" s="405" t="s">
        <v>104</v>
      </c>
      <c r="C134" s="406"/>
      <c r="D134" s="407"/>
      <c r="E134" s="61"/>
      <c r="F134" s="31"/>
      <c r="G134" s="74"/>
      <c r="H134" s="74"/>
      <c r="I134" s="74"/>
      <c r="J134" s="74"/>
      <c r="K134" s="94">
        <f t="shared" si="13"/>
        <v>0</v>
      </c>
      <c r="L134" s="33">
        <f>0+K134</f>
        <v>0</v>
      </c>
      <c r="M134" s="34">
        <f t="shared" si="14"/>
        <v>0</v>
      </c>
      <c r="N134" s="35">
        <f t="shared" si="14"/>
        <v>0</v>
      </c>
      <c r="O134" s="64">
        <v>0</v>
      </c>
      <c r="P134" s="65">
        <v>0</v>
      </c>
      <c r="Q134" s="1"/>
      <c r="R134" s="1"/>
      <c r="S134" s="1"/>
    </row>
    <row r="135" spans="1:19" ht="31.5" customHeight="1" thickBot="1">
      <c r="A135" s="111">
        <v>16</v>
      </c>
      <c r="B135" s="418" t="s">
        <v>197</v>
      </c>
      <c r="C135" s="418"/>
      <c r="D135" s="419"/>
      <c r="E135" s="31">
        <v>0</v>
      </c>
      <c r="F135" s="73">
        <f>F136</f>
        <v>0</v>
      </c>
      <c r="G135" s="75">
        <f>G136+G137</f>
        <v>0</v>
      </c>
      <c r="H135" s="74"/>
      <c r="I135" s="74"/>
      <c r="J135" s="74"/>
      <c r="K135" s="93">
        <f t="shared" si="13"/>
        <v>0</v>
      </c>
      <c r="L135" s="55">
        <f>0+K135</f>
        <v>0</v>
      </c>
      <c r="M135" s="56">
        <f t="shared" si="14"/>
        <v>0</v>
      </c>
      <c r="N135" s="70">
        <f t="shared" si="14"/>
        <v>0</v>
      </c>
      <c r="O135" s="58">
        <v>0</v>
      </c>
      <c r="P135" s="59">
        <v>0</v>
      </c>
      <c r="Q135" s="1"/>
      <c r="R135" s="1"/>
      <c r="S135" s="1"/>
    </row>
    <row r="136" spans="1:19" ht="34.5" customHeight="1" thickBot="1">
      <c r="A136" s="60" t="s">
        <v>198</v>
      </c>
      <c r="B136" s="405" t="s">
        <v>53</v>
      </c>
      <c r="C136" s="406"/>
      <c r="D136" s="407"/>
      <c r="E136" s="61"/>
      <c r="F136" s="31">
        <v>0</v>
      </c>
      <c r="G136" s="74"/>
      <c r="H136" s="74"/>
      <c r="I136" s="74"/>
      <c r="J136" s="74"/>
      <c r="K136" s="94">
        <f t="shared" si="13"/>
        <v>0</v>
      </c>
      <c r="L136" s="33">
        <f>0+K136</f>
        <v>0</v>
      </c>
      <c r="M136" s="34">
        <f t="shared" si="14"/>
        <v>0</v>
      </c>
      <c r="N136" s="35">
        <f t="shared" si="14"/>
        <v>0</v>
      </c>
      <c r="O136" s="64">
        <v>0</v>
      </c>
      <c r="P136" s="65">
        <v>0</v>
      </c>
      <c r="Q136" s="1"/>
      <c r="R136" s="1"/>
      <c r="S136" s="1"/>
    </row>
    <row r="137" spans="1:19" ht="41.25" customHeight="1" thickBot="1">
      <c r="A137" s="60" t="s">
        <v>199</v>
      </c>
      <c r="B137" s="405" t="s">
        <v>104</v>
      </c>
      <c r="C137" s="406"/>
      <c r="D137" s="407"/>
      <c r="E137" s="61"/>
      <c r="F137" s="31"/>
      <c r="G137" s="74"/>
      <c r="H137" s="74"/>
      <c r="I137" s="74"/>
      <c r="J137" s="74"/>
      <c r="K137" s="94">
        <f t="shared" si="13"/>
        <v>0</v>
      </c>
      <c r="L137" s="33">
        <f>0+K137</f>
        <v>0</v>
      </c>
      <c r="M137" s="34">
        <f t="shared" si="14"/>
        <v>0</v>
      </c>
      <c r="N137" s="35">
        <f t="shared" si="14"/>
        <v>0</v>
      </c>
      <c r="O137" s="64">
        <v>0</v>
      </c>
      <c r="P137" s="65">
        <v>0</v>
      </c>
      <c r="Q137" s="1"/>
      <c r="R137" s="1"/>
      <c r="S137" s="1"/>
    </row>
    <row r="138" spans="1:19" ht="47.25" customHeight="1" thickBot="1">
      <c r="A138" s="110">
        <v>17</v>
      </c>
      <c r="B138" s="418" t="s">
        <v>200</v>
      </c>
      <c r="C138" s="418"/>
      <c r="D138" s="419"/>
      <c r="E138" s="73">
        <v>0</v>
      </c>
      <c r="F138" s="73">
        <f>F139</f>
        <v>5504</v>
      </c>
      <c r="G138" s="75">
        <f>G139+G140</f>
        <v>0</v>
      </c>
      <c r="H138" s="75"/>
      <c r="I138" s="75"/>
      <c r="J138" s="75"/>
      <c r="K138" s="93">
        <f t="shared" si="13"/>
        <v>0</v>
      </c>
      <c r="L138" s="55">
        <f>L139</f>
        <v>5504</v>
      </c>
      <c r="M138" s="56">
        <f t="shared" si="14"/>
        <v>0</v>
      </c>
      <c r="N138" s="70">
        <f t="shared" si="14"/>
        <v>0</v>
      </c>
      <c r="O138" s="58">
        <v>0</v>
      </c>
      <c r="P138" s="59">
        <v>0</v>
      </c>
      <c r="Q138" s="1"/>
      <c r="R138" s="1"/>
      <c r="S138" s="1"/>
    </row>
    <row r="139" spans="1:19" ht="27" customHeight="1" thickBot="1">
      <c r="A139" s="60" t="s">
        <v>201</v>
      </c>
      <c r="B139" s="405" t="s">
        <v>53</v>
      </c>
      <c r="C139" s="406"/>
      <c r="D139" s="407"/>
      <c r="E139" s="61"/>
      <c r="F139" s="31">
        <f>5504+E139</f>
        <v>5504</v>
      </c>
      <c r="G139" s="74"/>
      <c r="H139" s="74"/>
      <c r="I139" s="74"/>
      <c r="J139" s="74"/>
      <c r="K139" s="94">
        <f t="shared" si="13"/>
        <v>0</v>
      </c>
      <c r="L139" s="33">
        <f>5504+K139</f>
        <v>5504</v>
      </c>
      <c r="M139" s="34">
        <f t="shared" si="14"/>
        <v>0</v>
      </c>
      <c r="N139" s="35">
        <f t="shared" si="14"/>
        <v>0</v>
      </c>
      <c r="O139" s="64">
        <v>0</v>
      </c>
      <c r="P139" s="65">
        <v>0</v>
      </c>
      <c r="Q139" s="1"/>
      <c r="R139" s="1"/>
      <c r="S139" s="1"/>
    </row>
    <row r="140" spans="1:19" ht="29.25" customHeight="1" thickBot="1">
      <c r="A140" s="60" t="s">
        <v>202</v>
      </c>
      <c r="B140" s="405" t="s">
        <v>104</v>
      </c>
      <c r="C140" s="406"/>
      <c r="D140" s="407"/>
      <c r="E140" s="61"/>
      <c r="F140" s="31"/>
      <c r="G140" s="74"/>
      <c r="H140" s="74"/>
      <c r="I140" s="74"/>
      <c r="J140" s="74"/>
      <c r="K140" s="94">
        <f t="shared" si="13"/>
        <v>0</v>
      </c>
      <c r="L140" s="33">
        <f>0+K140</f>
        <v>0</v>
      </c>
      <c r="M140" s="34">
        <f t="shared" si="14"/>
        <v>0</v>
      </c>
      <c r="N140" s="35">
        <f t="shared" si="14"/>
        <v>0</v>
      </c>
      <c r="O140" s="64">
        <v>0</v>
      </c>
      <c r="P140" s="65">
        <v>0</v>
      </c>
      <c r="Q140" s="1"/>
      <c r="R140" s="1"/>
      <c r="S140" s="1"/>
    </row>
    <row r="141" spans="1:19" ht="22.5" customHeight="1" thickBot="1">
      <c r="A141" s="110">
        <v>18</v>
      </c>
      <c r="B141" s="424" t="s">
        <v>42</v>
      </c>
      <c r="C141" s="424"/>
      <c r="D141" s="425"/>
      <c r="E141" s="31">
        <v>0</v>
      </c>
      <c r="F141" s="31"/>
      <c r="G141" s="74"/>
      <c r="H141" s="74"/>
      <c r="I141" s="74"/>
      <c r="J141" s="75">
        <v>267751.67</v>
      </c>
      <c r="K141" s="93">
        <f>J141</f>
        <v>267751.67</v>
      </c>
      <c r="L141" s="55">
        <f>0+K141</f>
        <v>267751.67</v>
      </c>
      <c r="M141" s="56">
        <f t="shared" si="14"/>
        <v>-267751.67</v>
      </c>
      <c r="N141" s="70">
        <f t="shared" si="14"/>
        <v>-267751.67</v>
      </c>
      <c r="O141" s="58">
        <v>0</v>
      </c>
      <c r="P141" s="59">
        <v>0</v>
      </c>
      <c r="Q141" s="1"/>
      <c r="R141" s="1"/>
      <c r="S141" s="1"/>
    </row>
    <row r="142" spans="1:19" ht="59.25" customHeight="1" thickBot="1">
      <c r="A142" s="112"/>
      <c r="B142" s="488" t="s">
        <v>203</v>
      </c>
      <c r="C142" s="488"/>
      <c r="D142" s="488"/>
      <c r="E142" s="488"/>
      <c r="F142" s="113"/>
      <c r="G142" s="113" t="s">
        <v>4</v>
      </c>
      <c r="H142" s="136" t="s">
        <v>5</v>
      </c>
      <c r="I142" s="338" t="s">
        <v>6</v>
      </c>
      <c r="J142" s="339"/>
      <c r="K142" s="8" t="s">
        <v>11</v>
      </c>
      <c r="L142" s="7" t="s">
        <v>8</v>
      </c>
      <c r="M142" s="7" t="s">
        <v>9</v>
      </c>
      <c r="N142" s="115" t="s">
        <v>10</v>
      </c>
      <c r="O142" s="116"/>
      <c r="P142" s="139"/>
      <c r="Q142" s="1"/>
      <c r="R142" s="1"/>
      <c r="S142" s="1"/>
    </row>
    <row r="143" spans="1:19" ht="23.25" customHeight="1" thickBot="1">
      <c r="A143" s="118"/>
      <c r="B143" s="488" t="s">
        <v>12</v>
      </c>
      <c r="C143" s="488"/>
      <c r="D143" s="488"/>
      <c r="E143" s="489"/>
      <c r="F143" s="119"/>
      <c r="G143" s="119">
        <v>0</v>
      </c>
      <c r="H143" s="4">
        <v>0</v>
      </c>
      <c r="I143" s="330">
        <v>0</v>
      </c>
      <c r="J143" s="331"/>
      <c r="K143" s="120"/>
      <c r="L143" s="4">
        <v>0</v>
      </c>
      <c r="M143" s="137">
        <v>0</v>
      </c>
      <c r="N143" s="137">
        <v>0</v>
      </c>
      <c r="O143" s="4"/>
      <c r="P143" s="4">
        <v>0</v>
      </c>
      <c r="Q143" s="1"/>
      <c r="R143" s="1"/>
      <c r="S143" s="1"/>
    </row>
    <row r="144" spans="1:19" ht="27" customHeight="1" thickBot="1">
      <c r="A144" s="112"/>
      <c r="B144" s="488" t="s">
        <v>13</v>
      </c>
      <c r="C144" s="488"/>
      <c r="D144" s="488"/>
      <c r="E144" s="489"/>
      <c r="F144" s="4"/>
      <c r="G144" s="4">
        <f>F10+G17-G32-G36-G40-G45-G55-G65-G68-G72-G75-G79-G89-G102-G133-G136-G139-G81</f>
        <v>301008.16000000015</v>
      </c>
      <c r="H144" s="4">
        <f>G18+H10-H29</f>
        <v>417525.76</v>
      </c>
      <c r="I144" s="330">
        <f>I10+G19-I104-I66-I97-I76</f>
        <v>0</v>
      </c>
      <c r="J144" s="331"/>
      <c r="K144" s="120">
        <f>O10+G22-J54</f>
        <v>49242.45</v>
      </c>
      <c r="L144" s="4">
        <f>L10+G23-J141</f>
        <v>182240.97000000003</v>
      </c>
      <c r="M144" s="137">
        <v>0</v>
      </c>
      <c r="N144" s="4">
        <v>0</v>
      </c>
      <c r="O144" s="121"/>
      <c r="P144" s="4">
        <f>SUM(G144:O144)</f>
        <v>950017.3400000001</v>
      </c>
      <c r="Q144" s="1"/>
      <c r="R144" s="80"/>
      <c r="S144" s="37"/>
    </row>
    <row r="145" spans="1:19" ht="24.75" customHeight="1" thickBot="1">
      <c r="A145" s="122"/>
      <c r="B145" s="323" t="s">
        <v>214</v>
      </c>
      <c r="C145" s="323"/>
      <c r="D145" s="323"/>
      <c r="E145" s="324"/>
      <c r="F145" s="325"/>
      <c r="G145" s="325"/>
      <c r="H145" s="325"/>
      <c r="I145" s="325"/>
      <c r="J145" s="325"/>
      <c r="K145" s="325"/>
      <c r="L145" s="325"/>
      <c r="M145" s="325"/>
      <c r="N145" s="484"/>
      <c r="O145" s="485"/>
      <c r="P145" s="123">
        <f>P144</f>
        <v>950017.3400000001</v>
      </c>
      <c r="Q145" s="1"/>
      <c r="R145" s="37"/>
      <c r="S145" s="37"/>
    </row>
    <row r="146" spans="1:19" ht="15">
      <c r="A146" s="1"/>
      <c r="B146" s="124"/>
      <c r="C146" s="124"/>
      <c r="D146" s="124"/>
      <c r="E146" s="124"/>
      <c r="F146" s="125"/>
      <c r="G146" s="125"/>
      <c r="H146" s="125"/>
      <c r="I146" s="125"/>
      <c r="J146" s="125"/>
      <c r="K146" s="126"/>
      <c r="L146" s="125"/>
      <c r="M146" s="125"/>
      <c r="N146" s="125"/>
      <c r="O146" s="127"/>
      <c r="P146" s="128"/>
      <c r="Q146" s="1"/>
      <c r="R146" s="37"/>
      <c r="S146" s="1"/>
    </row>
    <row r="147" spans="1:19" ht="15">
      <c r="A147" s="1"/>
      <c r="B147" s="486" t="s">
        <v>204</v>
      </c>
      <c r="C147" s="486"/>
      <c r="D147" s="486"/>
      <c r="E147" s="486"/>
      <c r="F147" s="486"/>
      <c r="G147" s="486"/>
      <c r="H147" s="486"/>
      <c r="I147" s="486"/>
      <c r="J147" s="486"/>
      <c r="K147" s="486"/>
      <c r="L147" s="486"/>
      <c r="M147" s="486"/>
      <c r="N147" s="486"/>
      <c r="O147" s="487" t="s">
        <v>205</v>
      </c>
      <c r="P147" s="487"/>
      <c r="Q147" s="1"/>
      <c r="R147" s="80"/>
      <c r="S147" s="37"/>
    </row>
    <row r="148" spans="1:19" ht="15">
      <c r="A148" s="1"/>
      <c r="B148" s="486" t="s">
        <v>206</v>
      </c>
      <c r="C148" s="486"/>
      <c r="D148" s="486"/>
      <c r="E148" s="486"/>
      <c r="F148" s="486"/>
      <c r="G148" s="486"/>
      <c r="H148" s="486"/>
      <c r="I148" s="486"/>
      <c r="J148" s="486"/>
      <c r="K148" s="486"/>
      <c r="L148" s="486"/>
      <c r="M148" s="486"/>
      <c r="N148" s="486"/>
      <c r="O148" s="486" t="s">
        <v>207</v>
      </c>
      <c r="P148" s="486"/>
      <c r="Q148" s="1"/>
      <c r="R148" s="1"/>
      <c r="S148" s="1"/>
    </row>
    <row r="149" spans="1:19" ht="15">
      <c r="A149" s="1"/>
      <c r="B149" s="134"/>
      <c r="C149" s="134"/>
      <c r="D149" s="134"/>
      <c r="E149" s="134"/>
      <c r="F149" s="134"/>
      <c r="G149" s="134"/>
      <c r="H149" s="134"/>
      <c r="I149" s="134"/>
      <c r="J149" s="130"/>
      <c r="K149" s="131"/>
      <c r="L149" s="130"/>
      <c r="M149" s="134"/>
      <c r="N149" s="134"/>
      <c r="O149" s="134"/>
      <c r="P149" s="130"/>
      <c r="Q149" s="1"/>
      <c r="R149" s="37"/>
      <c r="S149" s="1"/>
    </row>
    <row r="151" spans="1:19" ht="15">
      <c r="A151" s="1"/>
      <c r="B151" s="1"/>
      <c r="C151" s="1"/>
      <c r="D151" s="1"/>
      <c r="E151" s="1"/>
      <c r="F151" s="1"/>
      <c r="G151" s="1"/>
      <c r="H151" s="1"/>
      <c r="I151" s="132"/>
      <c r="J151" s="1"/>
      <c r="K151" s="1"/>
      <c r="L151" s="1"/>
      <c r="M151" s="1"/>
      <c r="N151" s="1"/>
      <c r="O151" s="1"/>
      <c r="P151" s="1"/>
      <c r="Q151" s="1"/>
      <c r="R151" s="37"/>
      <c r="S151" s="1"/>
    </row>
    <row r="152" spans="1:19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37"/>
      <c r="S152" s="1"/>
    </row>
    <row r="153" spans="1:19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7"/>
      <c r="O153" s="1"/>
      <c r="P153" s="1"/>
      <c r="Q153" s="1"/>
      <c r="R153" s="1"/>
      <c r="S153" s="1"/>
    </row>
    <row r="154" spans="12:16" ht="15">
      <c r="L154" s="1"/>
      <c r="M154" s="1"/>
      <c r="N154" s="37"/>
      <c r="O154" s="1"/>
      <c r="P154" s="37"/>
    </row>
    <row r="155" spans="12:16" ht="15">
      <c r="L155" s="1"/>
      <c r="M155" s="1"/>
      <c r="N155" s="133"/>
      <c r="O155" s="1"/>
      <c r="P155" s="37"/>
    </row>
    <row r="156" spans="12:16" ht="15">
      <c r="L156" s="37"/>
      <c r="M156" s="1"/>
      <c r="N156" s="1"/>
      <c r="O156" s="1"/>
      <c r="P156" s="1"/>
    </row>
    <row r="157" spans="12:16" ht="15">
      <c r="L157" s="37"/>
      <c r="M157" s="37"/>
      <c r="N157" s="1"/>
      <c r="O157" s="1"/>
      <c r="P157" s="1"/>
    </row>
  </sheetData>
  <sheetProtection/>
  <mergeCells count="203">
    <mergeCell ref="B136:D136"/>
    <mergeCell ref="B137:D137"/>
    <mergeCell ref="B138:D138"/>
    <mergeCell ref="B139:D139"/>
    <mergeCell ref="B140:D140"/>
    <mergeCell ref="B141:D141"/>
    <mergeCell ref="B130:D130"/>
    <mergeCell ref="B131:D131"/>
    <mergeCell ref="B145:E145"/>
    <mergeCell ref="B132:D132"/>
    <mergeCell ref="B133:D133"/>
    <mergeCell ref="B134:D134"/>
    <mergeCell ref="B135:D135"/>
    <mergeCell ref="F145:O145"/>
    <mergeCell ref="B147:E147"/>
    <mergeCell ref="F147:N147"/>
    <mergeCell ref="O147:P147"/>
    <mergeCell ref="B148:E148"/>
    <mergeCell ref="F148:N148"/>
    <mergeCell ref="O148:P148"/>
    <mergeCell ref="B142:E142"/>
    <mergeCell ref="I142:J142"/>
    <mergeCell ref="B143:E143"/>
    <mergeCell ref="I143:J143"/>
    <mergeCell ref="B144:E144"/>
    <mergeCell ref="I144:J144"/>
    <mergeCell ref="P123:P124"/>
    <mergeCell ref="B125:D125"/>
    <mergeCell ref="B126:D126"/>
    <mergeCell ref="B127:D127"/>
    <mergeCell ref="B128:D128"/>
    <mergeCell ref="B129:D129"/>
    <mergeCell ref="B120:D120"/>
    <mergeCell ref="B121:P122"/>
    <mergeCell ref="B123:D124"/>
    <mergeCell ref="E123:E124"/>
    <mergeCell ref="F123:F124"/>
    <mergeCell ref="G123:K123"/>
    <mergeCell ref="L123:L124"/>
    <mergeCell ref="M123:M124"/>
    <mergeCell ref="N123:N124"/>
    <mergeCell ref="O123:O124"/>
    <mergeCell ref="B114:D114"/>
    <mergeCell ref="B115:D115"/>
    <mergeCell ref="B116:D116"/>
    <mergeCell ref="B117:D117"/>
    <mergeCell ref="B118:D118"/>
    <mergeCell ref="B119:D119"/>
    <mergeCell ref="B108:D108"/>
    <mergeCell ref="B109:D109"/>
    <mergeCell ref="B110:D110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96:D96"/>
    <mergeCell ref="B97:D97"/>
    <mergeCell ref="B98:D98"/>
    <mergeCell ref="B99:D99"/>
    <mergeCell ref="B100:D100"/>
    <mergeCell ref="B101:D101"/>
    <mergeCell ref="B90:D90"/>
    <mergeCell ref="B91:D91"/>
    <mergeCell ref="B92:D92"/>
    <mergeCell ref="B93:D93"/>
    <mergeCell ref="B94:D94"/>
    <mergeCell ref="B95:D95"/>
    <mergeCell ref="N85:N86"/>
    <mergeCell ref="O85:O86"/>
    <mergeCell ref="P85:P86"/>
    <mergeCell ref="B87:D87"/>
    <mergeCell ref="B88:D88"/>
    <mergeCell ref="B89:D89"/>
    <mergeCell ref="B81:D81"/>
    <mergeCell ref="A83:A84"/>
    <mergeCell ref="B83:P84"/>
    <mergeCell ref="A85:A86"/>
    <mergeCell ref="B85:D86"/>
    <mergeCell ref="E85:E86"/>
    <mergeCell ref="F85:F86"/>
    <mergeCell ref="G85:K85"/>
    <mergeCell ref="L85:L86"/>
    <mergeCell ref="M85:M86"/>
    <mergeCell ref="B82:D82"/>
    <mergeCell ref="B74:D74"/>
    <mergeCell ref="B75:D75"/>
    <mergeCell ref="B76:D76"/>
    <mergeCell ref="B78:D78"/>
    <mergeCell ref="B79:D79"/>
    <mergeCell ref="B80:D80"/>
    <mergeCell ref="B77:D77"/>
    <mergeCell ref="B68:D68"/>
    <mergeCell ref="B69:D69"/>
    <mergeCell ref="B70:D70"/>
    <mergeCell ref="B71:D71"/>
    <mergeCell ref="B72:D72"/>
    <mergeCell ref="B73:D73"/>
    <mergeCell ref="B62:D62"/>
    <mergeCell ref="B63:D63"/>
    <mergeCell ref="B64:D64"/>
    <mergeCell ref="B65:D65"/>
    <mergeCell ref="B66:D66"/>
    <mergeCell ref="B67:D67"/>
    <mergeCell ref="B56:D56"/>
    <mergeCell ref="B57:D57"/>
    <mergeCell ref="B58:D58"/>
    <mergeCell ref="B59:D59"/>
    <mergeCell ref="B60:D60"/>
    <mergeCell ref="B61:D61"/>
    <mergeCell ref="B49:D49"/>
    <mergeCell ref="B50:D50"/>
    <mergeCell ref="B51:D51"/>
    <mergeCell ref="B52:D52"/>
    <mergeCell ref="B54:D54"/>
    <mergeCell ref="B55:D55"/>
    <mergeCell ref="B42:D42"/>
    <mergeCell ref="B43:D43"/>
    <mergeCell ref="B44:D44"/>
    <mergeCell ref="B45:D45"/>
    <mergeCell ref="B46:D46"/>
    <mergeCell ref="B48:D48"/>
    <mergeCell ref="B53:D53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M26:M27"/>
    <mergeCell ref="N26:N27"/>
    <mergeCell ref="O26:O27"/>
    <mergeCell ref="P26:P27"/>
    <mergeCell ref="B28:D28"/>
    <mergeCell ref="B29:D29"/>
    <mergeCell ref="B23:D23"/>
    <mergeCell ref="G23:J23"/>
    <mergeCell ref="A24:A25"/>
    <mergeCell ref="B24:P25"/>
    <mergeCell ref="A26:A27"/>
    <mergeCell ref="B26:D27"/>
    <mergeCell ref="E26:E27"/>
    <mergeCell ref="F26:F27"/>
    <mergeCell ref="G26:K26"/>
    <mergeCell ref="L26:L27"/>
    <mergeCell ref="B20:D20"/>
    <mergeCell ref="G20:J20"/>
    <mergeCell ref="B21:D21"/>
    <mergeCell ref="G21:J21"/>
    <mergeCell ref="B22:D22"/>
    <mergeCell ref="G22:J22"/>
    <mergeCell ref="B17:D17"/>
    <mergeCell ref="G17:J17"/>
    <mergeCell ref="B18:D18"/>
    <mergeCell ref="G18:J18"/>
    <mergeCell ref="B19:D19"/>
    <mergeCell ref="G19:J19"/>
    <mergeCell ref="P12:P13"/>
    <mergeCell ref="B14:D14"/>
    <mergeCell ref="G14:J14"/>
    <mergeCell ref="A15:A16"/>
    <mergeCell ref="B15:D16"/>
    <mergeCell ref="G15:J15"/>
    <mergeCell ref="G16:J16"/>
    <mergeCell ref="B11:E11"/>
    <mergeCell ref="F11:P11"/>
    <mergeCell ref="A12:A13"/>
    <mergeCell ref="B12:E13"/>
    <mergeCell ref="F12:F13"/>
    <mergeCell ref="G12:K13"/>
    <mergeCell ref="L12:L13"/>
    <mergeCell ref="M12:M13"/>
    <mergeCell ref="N12:N13"/>
    <mergeCell ref="O12:O13"/>
    <mergeCell ref="B10:E10"/>
    <mergeCell ref="F10:G10"/>
    <mergeCell ref="I10:J10"/>
    <mergeCell ref="B6:E6"/>
    <mergeCell ref="F6:O6"/>
    <mergeCell ref="B7:E7"/>
    <mergeCell ref="F7:P7"/>
    <mergeCell ref="B8:E8"/>
    <mergeCell ref="F8:G8"/>
    <mergeCell ref="I8:J8"/>
    <mergeCell ref="B1:P1"/>
    <mergeCell ref="B2:P2"/>
    <mergeCell ref="B3:P3"/>
    <mergeCell ref="B4:P4"/>
    <mergeCell ref="B5:E5"/>
    <mergeCell ref="F5:O5"/>
    <mergeCell ref="B9:E9"/>
    <mergeCell ref="F9:G9"/>
    <mergeCell ref="I9:J9"/>
  </mergeCells>
  <printOptions/>
  <pageMargins left="0" right="0.03937007874015748" top="0.11811023622047245" bottom="0.11811023622047245" header="0.11811023622047245" footer="0.11811023622047245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7"/>
  <sheetViews>
    <sheetView zoomScalePageLayoutView="0" workbookViewId="0" topLeftCell="A142">
      <selection activeCell="R147" sqref="R147"/>
    </sheetView>
  </sheetViews>
  <sheetFormatPr defaultColWidth="9.140625" defaultRowHeight="15"/>
  <cols>
    <col min="1" max="1" width="3.28125" style="2" customWidth="1"/>
    <col min="2" max="3" width="9.140625" style="2" customWidth="1"/>
    <col min="4" max="4" width="6.8515625" style="2" customWidth="1"/>
    <col min="5" max="5" width="13.00390625" style="2" customWidth="1"/>
    <col min="6" max="7" width="12.7109375" style="2" customWidth="1"/>
    <col min="8" max="8" width="11.140625" style="2" customWidth="1"/>
    <col min="9" max="9" width="8.00390625" style="2" customWidth="1"/>
    <col min="10" max="10" width="11.00390625" style="2" customWidth="1"/>
    <col min="11" max="11" width="13.00390625" style="2" customWidth="1"/>
    <col min="12" max="12" width="12.8515625" style="2" customWidth="1"/>
    <col min="13" max="13" width="13.140625" style="2" customWidth="1"/>
    <col min="14" max="14" width="12.421875" style="2" customWidth="1"/>
    <col min="15" max="15" width="8.421875" style="2" customWidth="1"/>
    <col min="16" max="16" width="10.140625" style="2" customWidth="1"/>
    <col min="17" max="17" width="9.140625" style="2" customWidth="1"/>
    <col min="18" max="18" width="11.7109375" style="2" customWidth="1"/>
    <col min="19" max="19" width="11.140625" style="2" bestFit="1" customWidth="1"/>
    <col min="20" max="16384" width="9.140625" style="2" customWidth="1"/>
  </cols>
  <sheetData>
    <row r="1" spans="1:16" ht="15">
      <c r="A1" s="1"/>
      <c r="B1" s="318" t="s">
        <v>0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</row>
    <row r="2" spans="1:16" ht="15">
      <c r="A2" s="1"/>
      <c r="B2" s="319" t="s">
        <v>217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</row>
    <row r="3" spans="1:16" ht="15.75" thickBot="1">
      <c r="A3" s="1"/>
      <c r="B3" s="320" t="s">
        <v>1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</row>
    <row r="4" spans="1:16" ht="15.75" thickBot="1">
      <c r="A4" s="1"/>
      <c r="B4" s="321" t="s">
        <v>2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</row>
    <row r="5" spans="1:16" ht="17.25" customHeight="1" thickBot="1">
      <c r="A5" s="3"/>
      <c r="B5" s="322" t="s">
        <v>209</v>
      </c>
      <c r="C5" s="323"/>
      <c r="D5" s="323"/>
      <c r="E5" s="324"/>
      <c r="F5" s="325"/>
      <c r="G5" s="325"/>
      <c r="H5" s="325"/>
      <c r="I5" s="325"/>
      <c r="J5" s="325"/>
      <c r="K5" s="325"/>
      <c r="L5" s="325"/>
      <c r="M5" s="325"/>
      <c r="N5" s="325"/>
      <c r="O5" s="326"/>
      <c r="P5" s="4">
        <v>9380.24</v>
      </c>
    </row>
    <row r="6" spans="1:16" ht="24.75" customHeight="1" thickBot="1">
      <c r="A6" s="3"/>
      <c r="B6" s="322" t="s">
        <v>218</v>
      </c>
      <c r="C6" s="323"/>
      <c r="D6" s="323"/>
      <c r="E6" s="324"/>
      <c r="F6" s="325"/>
      <c r="G6" s="325"/>
      <c r="H6" s="325"/>
      <c r="I6" s="325"/>
      <c r="J6" s="325"/>
      <c r="K6" s="325"/>
      <c r="L6" s="325"/>
      <c r="M6" s="325"/>
      <c r="N6" s="325"/>
      <c r="O6" s="326"/>
      <c r="P6" s="160">
        <f>P10</f>
        <v>950017.3399999999</v>
      </c>
    </row>
    <row r="7" spans="1:16" ht="15.75" thickBot="1">
      <c r="A7" s="3"/>
      <c r="B7" s="332"/>
      <c r="C7" s="333"/>
      <c r="D7" s="333"/>
      <c r="E7" s="334"/>
      <c r="F7" s="335"/>
      <c r="G7" s="335"/>
      <c r="H7" s="335"/>
      <c r="I7" s="335"/>
      <c r="J7" s="335"/>
      <c r="K7" s="335"/>
      <c r="L7" s="335"/>
      <c r="M7" s="335"/>
      <c r="N7" s="336"/>
      <c r="O7" s="336"/>
      <c r="P7" s="337"/>
    </row>
    <row r="8" spans="1:16" ht="75.75" thickBot="1">
      <c r="A8" s="6"/>
      <c r="B8" s="322" t="s">
        <v>3</v>
      </c>
      <c r="C8" s="323"/>
      <c r="D8" s="323"/>
      <c r="E8" s="324"/>
      <c r="F8" s="338" t="s">
        <v>4</v>
      </c>
      <c r="G8" s="339"/>
      <c r="H8" s="7" t="s">
        <v>5</v>
      </c>
      <c r="I8" s="338" t="s">
        <v>6</v>
      </c>
      <c r="J8" s="339"/>
      <c r="K8" s="8" t="s">
        <v>7</v>
      </c>
      <c r="L8" s="7" t="s">
        <v>8</v>
      </c>
      <c r="M8" s="162" t="s">
        <v>9</v>
      </c>
      <c r="N8" s="171" t="s">
        <v>10</v>
      </c>
      <c r="O8" s="11" t="s">
        <v>11</v>
      </c>
      <c r="P8" s="12"/>
    </row>
    <row r="9" spans="1:16" ht="22.5" customHeight="1" thickBot="1">
      <c r="A9" s="3"/>
      <c r="B9" s="327" t="s">
        <v>12</v>
      </c>
      <c r="C9" s="328"/>
      <c r="D9" s="328"/>
      <c r="E9" s="329"/>
      <c r="F9" s="330">
        <v>0</v>
      </c>
      <c r="G9" s="331"/>
      <c r="H9" s="4">
        <v>0</v>
      </c>
      <c r="I9" s="330">
        <v>0</v>
      </c>
      <c r="J9" s="331"/>
      <c r="K9" s="13">
        <v>0</v>
      </c>
      <c r="L9" s="4">
        <v>0</v>
      </c>
      <c r="M9" s="159">
        <v>0</v>
      </c>
      <c r="N9" s="4">
        <v>0</v>
      </c>
      <c r="O9" s="15">
        <v>0</v>
      </c>
      <c r="P9" s="160">
        <v>0</v>
      </c>
    </row>
    <row r="10" spans="1:16" ht="24.75" customHeight="1" thickBot="1">
      <c r="A10" s="3"/>
      <c r="B10" s="327" t="s">
        <v>13</v>
      </c>
      <c r="C10" s="328"/>
      <c r="D10" s="328"/>
      <c r="E10" s="329"/>
      <c r="F10" s="330">
        <v>301008.16</v>
      </c>
      <c r="G10" s="331"/>
      <c r="H10" s="4">
        <v>417525.76</v>
      </c>
      <c r="I10" s="330">
        <v>0</v>
      </c>
      <c r="J10" s="331"/>
      <c r="K10" s="13">
        <v>0</v>
      </c>
      <c r="L10" s="4">
        <v>182240.97</v>
      </c>
      <c r="M10" s="159">
        <v>0</v>
      </c>
      <c r="N10" s="4">
        <v>0</v>
      </c>
      <c r="O10" s="4">
        <v>49242.45</v>
      </c>
      <c r="P10" s="160">
        <f>SUM(F10:O10)</f>
        <v>950017.3399999999</v>
      </c>
    </row>
    <row r="11" spans="1:16" ht="15.75" thickBot="1">
      <c r="A11" s="167"/>
      <c r="B11" s="360"/>
      <c r="C11" s="361"/>
      <c r="D11" s="361"/>
      <c r="E11" s="361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3"/>
    </row>
    <row r="12" spans="1:16" ht="15">
      <c r="A12" s="346"/>
      <c r="B12" s="364" t="s">
        <v>14</v>
      </c>
      <c r="C12" s="365"/>
      <c r="D12" s="365"/>
      <c r="E12" s="366"/>
      <c r="F12" s="340"/>
      <c r="G12" s="370" t="s">
        <v>15</v>
      </c>
      <c r="H12" s="362"/>
      <c r="I12" s="362"/>
      <c r="J12" s="362"/>
      <c r="K12" s="363"/>
      <c r="L12" s="340" t="s">
        <v>16</v>
      </c>
      <c r="M12" s="340" t="s">
        <v>17</v>
      </c>
      <c r="N12" s="340" t="s">
        <v>18</v>
      </c>
      <c r="O12" s="340" t="s">
        <v>19</v>
      </c>
      <c r="P12" s="340" t="s">
        <v>20</v>
      </c>
    </row>
    <row r="13" spans="1:16" ht="15.75" thickBot="1">
      <c r="A13" s="347"/>
      <c r="B13" s="367"/>
      <c r="C13" s="368"/>
      <c r="D13" s="368"/>
      <c r="E13" s="369"/>
      <c r="F13" s="341"/>
      <c r="G13" s="371"/>
      <c r="H13" s="372"/>
      <c r="I13" s="372"/>
      <c r="J13" s="372"/>
      <c r="K13" s="373"/>
      <c r="L13" s="341"/>
      <c r="M13" s="341"/>
      <c r="N13" s="341"/>
      <c r="O13" s="341"/>
      <c r="P13" s="341"/>
    </row>
    <row r="14" spans="1:16" ht="15.75" thickBot="1">
      <c r="A14" s="3"/>
      <c r="B14" s="342" t="s">
        <v>21</v>
      </c>
      <c r="C14" s="343"/>
      <c r="D14" s="344"/>
      <c r="E14" s="17" t="s">
        <v>22</v>
      </c>
      <c r="F14" s="166">
        <v>3</v>
      </c>
      <c r="G14" s="345">
        <v>4</v>
      </c>
      <c r="H14" s="335"/>
      <c r="I14" s="335"/>
      <c r="J14" s="337"/>
      <c r="K14" s="19">
        <v>5</v>
      </c>
      <c r="L14" s="165">
        <v>6</v>
      </c>
      <c r="M14" s="7">
        <v>7</v>
      </c>
      <c r="N14" s="165">
        <v>8</v>
      </c>
      <c r="O14" s="165">
        <v>9</v>
      </c>
      <c r="P14" s="7">
        <v>10</v>
      </c>
    </row>
    <row r="15" spans="1:16" ht="29.25" thickBot="1">
      <c r="A15" s="346"/>
      <c r="B15" s="348" t="s">
        <v>23</v>
      </c>
      <c r="C15" s="349"/>
      <c r="D15" s="350"/>
      <c r="E15" s="21" t="s">
        <v>24</v>
      </c>
      <c r="F15" s="21" t="s">
        <v>25</v>
      </c>
      <c r="G15" s="354" t="s">
        <v>26</v>
      </c>
      <c r="H15" s="355"/>
      <c r="I15" s="355"/>
      <c r="J15" s="356"/>
      <c r="K15" s="22" t="s">
        <v>27</v>
      </c>
      <c r="L15" s="23" t="s">
        <v>26</v>
      </c>
      <c r="M15" s="24" t="s">
        <v>28</v>
      </c>
      <c r="N15" s="24" t="s">
        <v>26</v>
      </c>
      <c r="O15" s="24" t="s">
        <v>26</v>
      </c>
      <c r="P15" s="25" t="s">
        <v>26</v>
      </c>
    </row>
    <row r="16" spans="1:16" ht="33" customHeight="1" thickBot="1">
      <c r="A16" s="347"/>
      <c r="B16" s="351"/>
      <c r="C16" s="352"/>
      <c r="D16" s="353"/>
      <c r="E16" s="26">
        <f>SUM(E17:E23)</f>
        <v>1541861</v>
      </c>
      <c r="F16" s="27">
        <f>SUM(F17:F23)</f>
        <v>4976783</v>
      </c>
      <c r="G16" s="357">
        <f>G17+G18+G19+G20+G21+G22+G23</f>
        <v>2087395.3000000003</v>
      </c>
      <c r="H16" s="358"/>
      <c r="I16" s="358"/>
      <c r="J16" s="359"/>
      <c r="K16" s="169">
        <f>SUM(K17:K23)</f>
        <v>2087395.3000000003</v>
      </c>
      <c r="L16" s="169">
        <f>SUM(L17:L23)</f>
        <v>5238961.4</v>
      </c>
      <c r="M16" s="169">
        <f>SUM(M17:M23)</f>
        <v>-545534.3</v>
      </c>
      <c r="N16" s="169">
        <f>SUM(N17:N23)</f>
        <v>-262178.40000000014</v>
      </c>
      <c r="O16" s="29">
        <v>0</v>
      </c>
      <c r="P16" s="29">
        <v>0</v>
      </c>
    </row>
    <row r="17" spans="1:18" ht="54.75" customHeight="1" thickBot="1">
      <c r="A17" s="30" t="s">
        <v>29</v>
      </c>
      <c r="B17" s="383" t="s">
        <v>30</v>
      </c>
      <c r="C17" s="384"/>
      <c r="D17" s="385"/>
      <c r="E17" s="154">
        <v>1117768</v>
      </c>
      <c r="F17" s="31">
        <f>2586735+E17</f>
        <v>3704503</v>
      </c>
      <c r="G17" s="377">
        <v>1540224.61</v>
      </c>
      <c r="H17" s="378"/>
      <c r="I17" s="378"/>
      <c r="J17" s="379"/>
      <c r="K17" s="170">
        <f>G17</f>
        <v>1540224.61</v>
      </c>
      <c r="L17" s="33">
        <f>2063630.3+K17</f>
        <v>3603854.91</v>
      </c>
      <c r="M17" s="34">
        <f>E17-K17</f>
        <v>-422456.6100000001</v>
      </c>
      <c r="N17" s="35">
        <f>F17-L17</f>
        <v>100648.08999999985</v>
      </c>
      <c r="O17" s="36">
        <v>0</v>
      </c>
      <c r="P17" s="36">
        <v>0</v>
      </c>
      <c r="Q17" s="1"/>
      <c r="R17" s="37"/>
    </row>
    <row r="18" spans="1:18" ht="43.5" customHeight="1" thickBot="1">
      <c r="A18" s="38" t="s">
        <v>31</v>
      </c>
      <c r="B18" s="386" t="s">
        <v>32</v>
      </c>
      <c r="C18" s="387"/>
      <c r="D18" s="388"/>
      <c r="E18" s="148">
        <v>414593</v>
      </c>
      <c r="F18" s="31">
        <f>829187+E18</f>
        <v>1243780</v>
      </c>
      <c r="G18" s="377">
        <v>414593.2</v>
      </c>
      <c r="H18" s="378"/>
      <c r="I18" s="378"/>
      <c r="J18" s="379"/>
      <c r="K18" s="170">
        <f>G18</f>
        <v>414593.2</v>
      </c>
      <c r="L18" s="33">
        <f>829186.8+K18</f>
        <v>1243780</v>
      </c>
      <c r="M18" s="34">
        <f>E18-K18</f>
        <v>-0.20000000001164153</v>
      </c>
      <c r="N18" s="35">
        <f>F18-L18</f>
        <v>0</v>
      </c>
      <c r="O18" s="36">
        <v>0</v>
      </c>
      <c r="P18" s="36">
        <v>0</v>
      </c>
      <c r="Q18" s="1"/>
      <c r="R18" s="1"/>
    </row>
    <row r="19" spans="1:18" ht="39.75" customHeight="1" thickBot="1">
      <c r="A19" s="38" t="s">
        <v>33</v>
      </c>
      <c r="B19" s="389" t="s">
        <v>34</v>
      </c>
      <c r="C19" s="390"/>
      <c r="D19" s="391"/>
      <c r="E19" s="39"/>
      <c r="F19" s="31">
        <f>0+E19</f>
        <v>0</v>
      </c>
      <c r="G19" s="377"/>
      <c r="H19" s="378"/>
      <c r="I19" s="378"/>
      <c r="J19" s="379"/>
      <c r="K19" s="170">
        <f>G19</f>
        <v>0</v>
      </c>
      <c r="L19" s="33">
        <f>0+K19</f>
        <v>0</v>
      </c>
      <c r="M19" s="34">
        <f aca="true" t="shared" si="0" ref="M19:N23">E19-K19</f>
        <v>0</v>
      </c>
      <c r="N19" s="35">
        <f t="shared" si="0"/>
        <v>0</v>
      </c>
      <c r="O19" s="36">
        <v>0</v>
      </c>
      <c r="P19" s="40">
        <v>0</v>
      </c>
      <c r="Q19" s="1"/>
      <c r="R19" s="1"/>
    </row>
    <row r="20" spans="1:18" ht="57.75" customHeight="1" thickBot="1">
      <c r="A20" s="41" t="s">
        <v>35</v>
      </c>
      <c r="B20" s="374" t="s">
        <v>36</v>
      </c>
      <c r="C20" s="375"/>
      <c r="D20" s="376"/>
      <c r="E20" s="42"/>
      <c r="F20" s="31">
        <f>0+E20</f>
        <v>0</v>
      </c>
      <c r="G20" s="377"/>
      <c r="H20" s="378"/>
      <c r="I20" s="378"/>
      <c r="J20" s="379"/>
      <c r="K20" s="170">
        <f>G20</f>
        <v>0</v>
      </c>
      <c r="L20" s="33">
        <f>0+K20</f>
        <v>0</v>
      </c>
      <c r="M20" s="34">
        <f t="shared" si="0"/>
        <v>0</v>
      </c>
      <c r="N20" s="35">
        <f t="shared" si="0"/>
        <v>0</v>
      </c>
      <c r="O20" s="36">
        <v>0</v>
      </c>
      <c r="P20" s="36">
        <v>0</v>
      </c>
      <c r="Q20" s="37"/>
      <c r="R20" s="37"/>
    </row>
    <row r="21" spans="1:18" ht="35.25" customHeight="1" thickBot="1">
      <c r="A21" s="43" t="s">
        <v>37</v>
      </c>
      <c r="B21" s="380" t="s">
        <v>38</v>
      </c>
      <c r="C21" s="381"/>
      <c r="D21" s="382"/>
      <c r="E21" s="44"/>
      <c r="F21" s="31">
        <f>0+E21</f>
        <v>0</v>
      </c>
      <c r="G21" s="377"/>
      <c r="H21" s="378"/>
      <c r="I21" s="378"/>
      <c r="J21" s="379"/>
      <c r="K21" s="170">
        <f>G21</f>
        <v>0</v>
      </c>
      <c r="L21" s="33">
        <f>0+K21</f>
        <v>0</v>
      </c>
      <c r="M21" s="34">
        <f t="shared" si="0"/>
        <v>0</v>
      </c>
      <c r="N21" s="35">
        <f t="shared" si="0"/>
        <v>0</v>
      </c>
      <c r="O21" s="36">
        <v>0</v>
      </c>
      <c r="P21" s="36">
        <v>0</v>
      </c>
      <c r="Q21" s="37"/>
      <c r="R21" s="1"/>
    </row>
    <row r="22" spans="1:18" ht="40.5" customHeight="1" thickBot="1">
      <c r="A22" s="43" t="s">
        <v>39</v>
      </c>
      <c r="B22" s="383" t="s">
        <v>40</v>
      </c>
      <c r="C22" s="384"/>
      <c r="D22" s="385"/>
      <c r="E22" s="149">
        <v>9500</v>
      </c>
      <c r="F22" s="31">
        <f>19000+E22</f>
        <v>28500</v>
      </c>
      <c r="G22" s="377">
        <v>9576.62</v>
      </c>
      <c r="H22" s="378"/>
      <c r="I22" s="378"/>
      <c r="J22" s="379"/>
      <c r="K22" s="170">
        <f>G22</f>
        <v>9576.62</v>
      </c>
      <c r="L22" s="33">
        <f>17995.36+K22</f>
        <v>27571.980000000003</v>
      </c>
      <c r="M22" s="34">
        <f>E22-K22</f>
        <v>-76.6200000000008</v>
      </c>
      <c r="N22" s="35">
        <f t="shared" si="0"/>
        <v>928.0199999999968</v>
      </c>
      <c r="O22" s="36">
        <v>0</v>
      </c>
      <c r="P22" s="36">
        <v>0</v>
      </c>
      <c r="Q22" s="1"/>
      <c r="R22" s="1"/>
    </row>
    <row r="23" spans="1:18" ht="30.75" customHeight="1" thickBot="1">
      <c r="A23" s="43" t="s">
        <v>41</v>
      </c>
      <c r="B23" s="392" t="s">
        <v>42</v>
      </c>
      <c r="C23" s="393"/>
      <c r="D23" s="394"/>
      <c r="E23" s="46"/>
      <c r="F23" s="31"/>
      <c r="G23" s="377">
        <v>123000.87</v>
      </c>
      <c r="H23" s="378"/>
      <c r="I23" s="378"/>
      <c r="J23" s="379"/>
      <c r="K23" s="170">
        <f>G23</f>
        <v>123000.87</v>
      </c>
      <c r="L23" s="33">
        <f>240753.64+K23</f>
        <v>363754.51</v>
      </c>
      <c r="M23" s="34">
        <f t="shared" si="0"/>
        <v>-123000.87</v>
      </c>
      <c r="N23" s="35">
        <f t="shared" si="0"/>
        <v>-363754.51</v>
      </c>
      <c r="O23" s="36">
        <v>0</v>
      </c>
      <c r="P23" s="36">
        <v>0</v>
      </c>
      <c r="Q23" s="1"/>
      <c r="R23" s="1"/>
    </row>
    <row r="24" spans="1:18" ht="15">
      <c r="A24" s="346"/>
      <c r="B24" s="395" t="s">
        <v>43</v>
      </c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7"/>
      <c r="Q24" s="1"/>
      <c r="R24" s="1"/>
    </row>
    <row r="25" spans="1:18" ht="15.75" thickBot="1">
      <c r="A25" s="347"/>
      <c r="B25" s="398"/>
      <c r="C25" s="399"/>
      <c r="D25" s="399"/>
      <c r="E25" s="399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400"/>
      <c r="Q25" s="1"/>
      <c r="R25" s="1"/>
    </row>
    <row r="26" spans="1:18" ht="15.75" thickBot="1">
      <c r="A26" s="346"/>
      <c r="B26" s="364" t="s">
        <v>14</v>
      </c>
      <c r="C26" s="365"/>
      <c r="D26" s="366"/>
      <c r="E26" s="401" t="s">
        <v>24</v>
      </c>
      <c r="F26" s="403" t="s">
        <v>25</v>
      </c>
      <c r="G26" s="338" t="s">
        <v>44</v>
      </c>
      <c r="H26" s="321"/>
      <c r="I26" s="321"/>
      <c r="J26" s="321"/>
      <c r="K26" s="339"/>
      <c r="L26" s="340" t="s">
        <v>16</v>
      </c>
      <c r="M26" s="340" t="s">
        <v>17</v>
      </c>
      <c r="N26" s="340" t="s">
        <v>18</v>
      </c>
      <c r="O26" s="340" t="s">
        <v>19</v>
      </c>
      <c r="P26" s="340" t="s">
        <v>20</v>
      </c>
      <c r="Q26" s="1"/>
      <c r="R26" s="1"/>
    </row>
    <row r="27" spans="1:18" ht="97.5" customHeight="1" thickBot="1">
      <c r="A27" s="347"/>
      <c r="B27" s="367"/>
      <c r="C27" s="368"/>
      <c r="D27" s="369"/>
      <c r="E27" s="402"/>
      <c r="F27" s="404"/>
      <c r="G27" s="161" t="s">
        <v>45</v>
      </c>
      <c r="H27" s="161" t="s">
        <v>46</v>
      </c>
      <c r="I27" s="161" t="s">
        <v>47</v>
      </c>
      <c r="J27" s="7" t="s">
        <v>48</v>
      </c>
      <c r="K27" s="8" t="s">
        <v>27</v>
      </c>
      <c r="L27" s="341"/>
      <c r="M27" s="341"/>
      <c r="N27" s="341"/>
      <c r="O27" s="341"/>
      <c r="P27" s="341"/>
      <c r="Q27" s="1"/>
      <c r="R27" s="37"/>
    </row>
    <row r="28" spans="1:18" ht="15.75" thickBot="1">
      <c r="A28" s="3"/>
      <c r="B28" s="342">
        <v>1</v>
      </c>
      <c r="C28" s="343"/>
      <c r="D28" s="344"/>
      <c r="E28" s="17" t="s">
        <v>22</v>
      </c>
      <c r="F28" s="161">
        <v>3</v>
      </c>
      <c r="G28" s="161">
        <v>4</v>
      </c>
      <c r="H28" s="161">
        <v>5</v>
      </c>
      <c r="I28" s="7">
        <v>6</v>
      </c>
      <c r="J28" s="7">
        <v>7</v>
      </c>
      <c r="K28" s="48">
        <v>8</v>
      </c>
      <c r="L28" s="165">
        <v>9</v>
      </c>
      <c r="M28" s="7">
        <v>10</v>
      </c>
      <c r="N28" s="165">
        <v>11</v>
      </c>
      <c r="O28" s="7">
        <v>12</v>
      </c>
      <c r="P28" s="165">
        <v>13</v>
      </c>
      <c r="Q28" s="1"/>
      <c r="R28" s="1"/>
    </row>
    <row r="29" spans="1:18" ht="19.5" customHeight="1" thickBot="1">
      <c r="A29" s="3"/>
      <c r="B29" s="345" t="s">
        <v>23</v>
      </c>
      <c r="C29" s="335"/>
      <c r="D29" s="337"/>
      <c r="E29" s="49">
        <f>E30+E34+E38+E44+E51+E54+E64+E67+E71+E74+E78+E80+E88+E101+E132+E135+E138+E141</f>
        <v>1541861</v>
      </c>
      <c r="F29" s="49">
        <f>F30+F34+F38+F44+F51+F54+F64+F67+F71+F74+F78+F80+F88+F101+F132+F135+F138+F141</f>
        <v>4982287</v>
      </c>
      <c r="G29" s="49">
        <f>G30+G34+G38+G44+G51+G54+G64+G67+G71+G74+G78+G80+G88+G101+G132+G135+G138+G141</f>
        <v>1731667.9000000001</v>
      </c>
      <c r="H29" s="49">
        <f>H30+H34+H38+H44+H51+H54+H64+H67+H71+H74+H78+H80+H88+H101+H132+H135+H138+H141</f>
        <v>414825.16</v>
      </c>
      <c r="I29" s="49">
        <f>I30+I34+I38+I44+I51+I54+I64+I67+I71+I74+I78+I80+I88+I101+I132+I135+I138+I141</f>
        <v>0</v>
      </c>
      <c r="J29" s="49">
        <f>J30+J34+J38+J44+J51+J54+J64+J67+J71+J74+J78+J80+J88+J101+J132+J135+J138+J141</f>
        <v>152282.23</v>
      </c>
      <c r="K29" s="49">
        <f>K30+K34+K38+K44+K51+K54+K64+K67+K71+K74+K78+K80+K88+K101+K132+K135+K138+K141</f>
        <v>2298775.29</v>
      </c>
      <c r="L29" s="49">
        <f>L30+L34+L38+L44+L51+L54+L64+L67+L71+L74+L78+L80+L88+L101+L132+L135+L138+L141</f>
        <v>4509704.29</v>
      </c>
      <c r="M29" s="49">
        <f>M30+M34+M38+M44+M51+M54+M64+M67+M71+M74+M78+M80+M88+M101+M132+M135+M138+M141</f>
        <v>-756914.29</v>
      </c>
      <c r="N29" s="49">
        <f>N30+N34+N38+N44+N51+N54+N64+N67+N71+N74+N78+N80+N88+N101+N132+N135+N138+N141</f>
        <v>472582.70999999996</v>
      </c>
      <c r="O29" s="50">
        <v>0</v>
      </c>
      <c r="P29" s="50">
        <v>0</v>
      </c>
      <c r="Q29" s="1"/>
      <c r="R29" s="37"/>
    </row>
    <row r="30" spans="1:18" ht="24.75" customHeight="1" thickBot="1">
      <c r="A30" s="51" t="s">
        <v>21</v>
      </c>
      <c r="B30" s="417" t="s">
        <v>49</v>
      </c>
      <c r="C30" s="418"/>
      <c r="D30" s="419"/>
      <c r="E30" s="52">
        <f>SUM(E31:E32)</f>
        <v>776802</v>
      </c>
      <c r="F30" s="53">
        <f>F31+F32+F33</f>
        <v>2330406</v>
      </c>
      <c r="G30" s="54">
        <f>G31+G32+G33</f>
        <v>412379.13</v>
      </c>
      <c r="H30" s="54">
        <f>H31</f>
        <v>345151.16</v>
      </c>
      <c r="I30" s="54"/>
      <c r="J30" s="54"/>
      <c r="K30" s="53">
        <f>G30+H30</f>
        <v>757530.29</v>
      </c>
      <c r="L30" s="55">
        <f>L31+L32</f>
        <v>1750647.16</v>
      </c>
      <c r="M30" s="56">
        <f>E30-K30</f>
        <v>19271.709999999963</v>
      </c>
      <c r="N30" s="57">
        <f>F30-L30</f>
        <v>579758.8400000001</v>
      </c>
      <c r="O30" s="58">
        <v>0</v>
      </c>
      <c r="P30" s="59">
        <v>0</v>
      </c>
      <c r="Q30" s="37"/>
      <c r="R30" s="37"/>
    </row>
    <row r="31" spans="1:18" ht="24.75" customHeight="1" thickBot="1">
      <c r="A31" s="60" t="s">
        <v>50</v>
      </c>
      <c r="B31" s="411" t="s">
        <v>51</v>
      </c>
      <c r="C31" s="412"/>
      <c r="D31" s="413"/>
      <c r="E31" s="187">
        <v>344919</v>
      </c>
      <c r="F31" s="31">
        <f>689840+E31</f>
        <v>1034759</v>
      </c>
      <c r="G31" s="62"/>
      <c r="H31" s="62">
        <v>345151.16</v>
      </c>
      <c r="I31" s="62"/>
      <c r="J31" s="62"/>
      <c r="K31" s="45">
        <f>H31</f>
        <v>345151.16</v>
      </c>
      <c r="L31" s="33">
        <f>341987.64+K31</f>
        <v>687138.8</v>
      </c>
      <c r="M31" s="34">
        <f>E31-K31</f>
        <v>-232.1599999999744</v>
      </c>
      <c r="N31" s="63">
        <f>F31-L31</f>
        <v>347620.19999999995</v>
      </c>
      <c r="O31" s="64">
        <v>0</v>
      </c>
      <c r="P31" s="65">
        <v>0</v>
      </c>
      <c r="Q31" s="37"/>
      <c r="R31" s="37"/>
    </row>
    <row r="32" spans="1:18" ht="27" customHeight="1" thickBot="1">
      <c r="A32" s="60" t="s">
        <v>52</v>
      </c>
      <c r="B32" s="405" t="s">
        <v>53</v>
      </c>
      <c r="C32" s="406"/>
      <c r="D32" s="407"/>
      <c r="E32" s="187">
        <v>431883</v>
      </c>
      <c r="F32" s="31">
        <f>863764+E32</f>
        <v>1295647</v>
      </c>
      <c r="G32" s="62">
        <v>412379.13</v>
      </c>
      <c r="H32" s="62"/>
      <c r="I32" s="62"/>
      <c r="J32" s="62"/>
      <c r="K32" s="33">
        <f>0+G32</f>
        <v>412379.13</v>
      </c>
      <c r="L32" s="33">
        <f>651129.23+K32</f>
        <v>1063508.3599999999</v>
      </c>
      <c r="M32" s="34">
        <f>E32-K32</f>
        <v>19503.869999999995</v>
      </c>
      <c r="N32" s="63">
        <f>F32-L32</f>
        <v>232138.64000000013</v>
      </c>
      <c r="O32" s="64">
        <v>0</v>
      </c>
      <c r="P32" s="65">
        <v>0</v>
      </c>
      <c r="Q32" s="37"/>
      <c r="R32" s="37"/>
    </row>
    <row r="33" spans="1:18" ht="30" customHeight="1" thickBot="1">
      <c r="A33" s="60" t="s">
        <v>54</v>
      </c>
      <c r="B33" s="405" t="s">
        <v>55</v>
      </c>
      <c r="C33" s="406"/>
      <c r="D33" s="407"/>
      <c r="E33" s="66"/>
      <c r="F33" s="33"/>
      <c r="G33" s="62"/>
      <c r="H33" s="62"/>
      <c r="I33" s="62"/>
      <c r="J33" s="62"/>
      <c r="K33" s="45"/>
      <c r="L33" s="33"/>
      <c r="M33" s="67"/>
      <c r="N33" s="68"/>
      <c r="O33" s="64"/>
      <c r="P33" s="65"/>
      <c r="Q33" s="37"/>
      <c r="R33" s="37"/>
    </row>
    <row r="34" spans="1:18" ht="33.75" customHeight="1" thickBot="1">
      <c r="A34" s="69" t="s">
        <v>22</v>
      </c>
      <c r="B34" s="408" t="s">
        <v>56</v>
      </c>
      <c r="C34" s="409"/>
      <c r="D34" s="410"/>
      <c r="E34" s="53">
        <f>SUM(E35:E37)</f>
        <v>156914</v>
      </c>
      <c r="F34" s="53">
        <f>F35+F36+F37</f>
        <v>470742</v>
      </c>
      <c r="G34" s="54">
        <f>G35+G36+G37</f>
        <v>84647.96</v>
      </c>
      <c r="H34" s="54">
        <f>H35</f>
        <v>69674</v>
      </c>
      <c r="I34" s="54"/>
      <c r="J34" s="54"/>
      <c r="K34" s="53">
        <f>G34+H34</f>
        <v>154321.96000000002</v>
      </c>
      <c r="L34" s="55">
        <f>L35+L36</f>
        <v>339475.33999999997</v>
      </c>
      <c r="M34" s="56">
        <f aca="true" t="shared" si="1" ref="M34:N36">E34-K34</f>
        <v>2592.039999999979</v>
      </c>
      <c r="N34" s="70">
        <f t="shared" si="1"/>
        <v>131266.66000000003</v>
      </c>
      <c r="O34" s="58">
        <v>0</v>
      </c>
      <c r="P34" s="59">
        <v>0</v>
      </c>
      <c r="Q34" s="1"/>
      <c r="R34" s="1"/>
    </row>
    <row r="35" spans="1:18" ht="23.25" customHeight="1" thickBot="1">
      <c r="A35" s="60" t="s">
        <v>57</v>
      </c>
      <c r="B35" s="411" t="s">
        <v>51</v>
      </c>
      <c r="C35" s="412"/>
      <c r="D35" s="413"/>
      <c r="E35" s="188">
        <v>69674</v>
      </c>
      <c r="F35" s="31">
        <f>139348+E35</f>
        <v>209022</v>
      </c>
      <c r="G35" s="62"/>
      <c r="H35" s="62">
        <v>69674</v>
      </c>
      <c r="I35" s="62"/>
      <c r="J35" s="62"/>
      <c r="K35" s="45">
        <f>H35</f>
        <v>69674</v>
      </c>
      <c r="L35" s="33">
        <f>69673.4+K35</f>
        <v>139347.4</v>
      </c>
      <c r="M35" s="34">
        <f t="shared" si="1"/>
        <v>0</v>
      </c>
      <c r="N35" s="63">
        <f t="shared" si="1"/>
        <v>69674.6</v>
      </c>
      <c r="O35" s="64">
        <v>0</v>
      </c>
      <c r="P35" s="65">
        <v>0</v>
      </c>
      <c r="Q35" s="1"/>
      <c r="R35" s="71"/>
    </row>
    <row r="36" spans="1:18" ht="31.5" customHeight="1" thickBot="1">
      <c r="A36" s="60" t="s">
        <v>58</v>
      </c>
      <c r="B36" s="405" t="s">
        <v>53</v>
      </c>
      <c r="C36" s="406"/>
      <c r="D36" s="407"/>
      <c r="E36" s="188">
        <v>87240</v>
      </c>
      <c r="F36" s="31">
        <f>174480+E36</f>
        <v>261720</v>
      </c>
      <c r="G36" s="62">
        <v>84647.96</v>
      </c>
      <c r="H36" s="62"/>
      <c r="I36" s="62"/>
      <c r="J36" s="62"/>
      <c r="K36" s="45">
        <f>G36</f>
        <v>84647.96</v>
      </c>
      <c r="L36" s="33">
        <f>115479.98+K36</f>
        <v>200127.94</v>
      </c>
      <c r="M36" s="34">
        <f>E36-K36</f>
        <v>2592.0399999999936</v>
      </c>
      <c r="N36" s="63">
        <f t="shared" si="1"/>
        <v>61592.06</v>
      </c>
      <c r="O36" s="64">
        <v>0</v>
      </c>
      <c r="P36" s="65">
        <v>0</v>
      </c>
      <c r="Q36" s="1"/>
      <c r="R36" s="1"/>
    </row>
    <row r="37" spans="1:18" ht="15.75" thickBot="1">
      <c r="A37" s="60" t="s">
        <v>59</v>
      </c>
      <c r="B37" s="405" t="s">
        <v>55</v>
      </c>
      <c r="C37" s="406"/>
      <c r="D37" s="407"/>
      <c r="E37" s="45"/>
      <c r="F37" s="31"/>
      <c r="G37" s="62"/>
      <c r="H37" s="62"/>
      <c r="I37" s="62"/>
      <c r="J37" s="62"/>
      <c r="K37" s="45"/>
      <c r="L37" s="33"/>
      <c r="M37" s="67"/>
      <c r="N37" s="72"/>
      <c r="O37" s="64"/>
      <c r="P37" s="65"/>
      <c r="Q37" s="1"/>
      <c r="R37" s="1"/>
    </row>
    <row r="38" spans="1:18" ht="32.25" customHeight="1" thickBot="1">
      <c r="A38" s="51" t="s">
        <v>60</v>
      </c>
      <c r="B38" s="408" t="s">
        <v>61</v>
      </c>
      <c r="C38" s="409"/>
      <c r="D38" s="410"/>
      <c r="E38" s="53">
        <f>SUM(E41:E43)</f>
        <v>5065</v>
      </c>
      <c r="F38" s="73">
        <f>F41+F42+F43</f>
        <v>18195</v>
      </c>
      <c r="G38" s="54">
        <f>G40</f>
        <v>4770.58</v>
      </c>
      <c r="H38" s="54"/>
      <c r="I38" s="54"/>
      <c r="J38" s="54"/>
      <c r="K38" s="55">
        <f>K39+K40</f>
        <v>4770.58</v>
      </c>
      <c r="L38" s="55">
        <f>L40+L39</f>
        <v>17295.67</v>
      </c>
      <c r="M38" s="56">
        <f>E38-K38</f>
        <v>294.4200000000001</v>
      </c>
      <c r="N38" s="57">
        <f>F38-L38</f>
        <v>899.3300000000017</v>
      </c>
      <c r="O38" s="58">
        <v>0</v>
      </c>
      <c r="P38" s="59">
        <v>0</v>
      </c>
      <c r="Q38" s="1"/>
      <c r="R38" s="1"/>
    </row>
    <row r="39" spans="1:18" ht="21" customHeight="1" thickBot="1">
      <c r="A39" s="60" t="s">
        <v>62</v>
      </c>
      <c r="B39" s="411" t="s">
        <v>51</v>
      </c>
      <c r="C39" s="412"/>
      <c r="D39" s="413"/>
      <c r="E39" s="33"/>
      <c r="F39" s="31"/>
      <c r="G39" s="62"/>
      <c r="H39" s="62"/>
      <c r="I39" s="62"/>
      <c r="J39" s="62"/>
      <c r="K39" s="45"/>
      <c r="L39" s="33"/>
      <c r="M39" s="67"/>
      <c r="N39" s="72"/>
      <c r="O39" s="64"/>
      <c r="P39" s="65"/>
      <c r="Q39" s="1"/>
      <c r="R39" s="1"/>
    </row>
    <row r="40" spans="1:18" ht="30.75" customHeight="1" thickBot="1">
      <c r="A40" s="60" t="s">
        <v>63</v>
      </c>
      <c r="B40" s="405" t="s">
        <v>53</v>
      </c>
      <c r="C40" s="406"/>
      <c r="D40" s="407"/>
      <c r="E40" s="45">
        <f>E41+E42+E43</f>
        <v>5065</v>
      </c>
      <c r="F40" s="31">
        <f>13130+E40</f>
        <v>18195</v>
      </c>
      <c r="G40" s="62">
        <f>G41+G42</f>
        <v>4770.58</v>
      </c>
      <c r="H40" s="62"/>
      <c r="I40" s="62"/>
      <c r="J40" s="62"/>
      <c r="K40" s="33">
        <f>0+G40</f>
        <v>4770.58</v>
      </c>
      <c r="L40" s="33">
        <f>L41+L42+L43</f>
        <v>17295.67</v>
      </c>
      <c r="M40" s="34">
        <f aca="true" t="shared" si="2" ref="M40:N55">E40-K40</f>
        <v>294.4200000000001</v>
      </c>
      <c r="N40" s="63">
        <f t="shared" si="2"/>
        <v>899.3300000000017</v>
      </c>
      <c r="O40" s="64">
        <v>0</v>
      </c>
      <c r="P40" s="65">
        <v>0</v>
      </c>
      <c r="Q40" s="1"/>
      <c r="R40" s="1"/>
    </row>
    <row r="41" spans="1:18" ht="17.25" customHeight="1" thickBot="1">
      <c r="A41" s="60" t="s">
        <v>64</v>
      </c>
      <c r="B41" s="414" t="s">
        <v>65</v>
      </c>
      <c r="C41" s="415"/>
      <c r="D41" s="416"/>
      <c r="E41" s="153">
        <v>2846</v>
      </c>
      <c r="F41" s="31">
        <f>5692+E41</f>
        <v>8538</v>
      </c>
      <c r="G41" s="62">
        <v>2551.58</v>
      </c>
      <c r="H41" s="62"/>
      <c r="I41" s="62"/>
      <c r="J41" s="62"/>
      <c r="K41" s="33">
        <f>0+G41</f>
        <v>2551.58</v>
      </c>
      <c r="L41" s="33">
        <f>5975.09+K41</f>
        <v>8526.67</v>
      </c>
      <c r="M41" s="34">
        <f t="shared" si="2"/>
        <v>294.4200000000001</v>
      </c>
      <c r="N41" s="63">
        <f t="shared" si="2"/>
        <v>11.329999999999927</v>
      </c>
      <c r="O41" s="64">
        <v>0</v>
      </c>
      <c r="P41" s="65">
        <v>0</v>
      </c>
      <c r="Q41" s="1"/>
      <c r="R41" s="1"/>
    </row>
    <row r="42" spans="1:18" ht="21" customHeight="1" thickBot="1">
      <c r="A42" s="60" t="s">
        <v>66</v>
      </c>
      <c r="B42" s="414" t="s">
        <v>67</v>
      </c>
      <c r="C42" s="415"/>
      <c r="D42" s="416"/>
      <c r="E42" s="153">
        <v>2219</v>
      </c>
      <c r="F42" s="31">
        <f>4438+E42</f>
        <v>6657</v>
      </c>
      <c r="G42" s="62">
        <v>2219</v>
      </c>
      <c r="H42" s="62"/>
      <c r="I42" s="62"/>
      <c r="J42" s="62"/>
      <c r="K42" s="33">
        <f>0+G42</f>
        <v>2219</v>
      </c>
      <c r="L42" s="33">
        <f>4438+K42</f>
        <v>6657</v>
      </c>
      <c r="M42" s="34">
        <f t="shared" si="2"/>
        <v>0</v>
      </c>
      <c r="N42" s="63">
        <f t="shared" si="2"/>
        <v>0</v>
      </c>
      <c r="O42" s="64">
        <v>0</v>
      </c>
      <c r="P42" s="65">
        <v>0</v>
      </c>
      <c r="Q42" s="1"/>
      <c r="R42" s="1"/>
    </row>
    <row r="43" spans="1:18" ht="17.25" customHeight="1" thickBot="1">
      <c r="A43" s="60" t="s">
        <v>68</v>
      </c>
      <c r="B43" s="414" t="s">
        <v>210</v>
      </c>
      <c r="C43" s="415"/>
      <c r="D43" s="416"/>
      <c r="E43" s="153"/>
      <c r="F43" s="31">
        <f>3000+E43</f>
        <v>3000</v>
      </c>
      <c r="G43" s="74"/>
      <c r="H43" s="74"/>
      <c r="I43" s="74"/>
      <c r="J43" s="62"/>
      <c r="K43" s="33">
        <f>0+J43</f>
        <v>0</v>
      </c>
      <c r="L43" s="33">
        <f>2112+K43</f>
        <v>2112</v>
      </c>
      <c r="M43" s="34">
        <f t="shared" si="2"/>
        <v>0</v>
      </c>
      <c r="N43" s="63">
        <f t="shared" si="2"/>
        <v>888</v>
      </c>
      <c r="O43" s="64">
        <v>0</v>
      </c>
      <c r="P43" s="65">
        <v>0</v>
      </c>
      <c r="Q43" s="1"/>
      <c r="R43" s="37"/>
    </row>
    <row r="44" spans="1:18" ht="38.25" customHeight="1" thickBot="1">
      <c r="A44" s="51" t="s">
        <v>69</v>
      </c>
      <c r="B44" s="408" t="s">
        <v>70</v>
      </c>
      <c r="C44" s="409"/>
      <c r="D44" s="410"/>
      <c r="E44" s="53">
        <f>SUM(E47:E49)</f>
        <v>212600</v>
      </c>
      <c r="F44" s="73">
        <f>F45+F46+F47</f>
        <v>660200</v>
      </c>
      <c r="G44" s="55">
        <f>G45+G46+G47</f>
        <v>187715</v>
      </c>
      <c r="H44" s="75"/>
      <c r="I44" s="75"/>
      <c r="J44" s="54"/>
      <c r="K44" s="55">
        <f>K45+K46+K47</f>
        <v>187715</v>
      </c>
      <c r="L44" s="55">
        <f>L45+L46+L47</f>
        <v>547717</v>
      </c>
      <c r="M44" s="56">
        <f t="shared" si="2"/>
        <v>24885</v>
      </c>
      <c r="N44" s="158">
        <f t="shared" si="2"/>
        <v>112483</v>
      </c>
      <c r="O44" s="58">
        <v>0</v>
      </c>
      <c r="P44" s="59">
        <v>0</v>
      </c>
      <c r="Q44" s="1"/>
      <c r="R44" s="1"/>
    </row>
    <row r="45" spans="1:18" ht="29.25" customHeight="1" thickBot="1">
      <c r="A45" s="60" t="s">
        <v>71</v>
      </c>
      <c r="B45" s="405" t="s">
        <v>53</v>
      </c>
      <c r="C45" s="406"/>
      <c r="D45" s="407"/>
      <c r="E45" s="155">
        <f>E48+E49</f>
        <v>212600</v>
      </c>
      <c r="F45" s="31">
        <f>F48+F49+F50</f>
        <v>660200</v>
      </c>
      <c r="G45" s="33">
        <f>G48+G49</f>
        <v>187715</v>
      </c>
      <c r="H45" s="74"/>
      <c r="I45" s="74"/>
      <c r="J45" s="62"/>
      <c r="K45" s="33">
        <f>0+G45</f>
        <v>187715</v>
      </c>
      <c r="L45" s="33">
        <f>L48+L49</f>
        <v>547717</v>
      </c>
      <c r="M45" s="34">
        <f t="shared" si="2"/>
        <v>24885</v>
      </c>
      <c r="N45" s="35">
        <f t="shared" si="2"/>
        <v>112483</v>
      </c>
      <c r="O45" s="64">
        <v>0</v>
      </c>
      <c r="P45" s="65">
        <v>0</v>
      </c>
      <c r="Q45" s="1"/>
      <c r="R45" s="1"/>
    </row>
    <row r="46" spans="1:18" ht="18.75" customHeight="1" thickBot="1">
      <c r="A46" s="60" t="s">
        <v>72</v>
      </c>
      <c r="B46" s="411" t="s">
        <v>51</v>
      </c>
      <c r="C46" s="412"/>
      <c r="D46" s="413"/>
      <c r="E46" s="76"/>
      <c r="F46" s="31"/>
      <c r="G46" s="33"/>
      <c r="H46" s="74"/>
      <c r="I46" s="74"/>
      <c r="J46" s="62"/>
      <c r="K46" s="33">
        <f aca="true" t="shared" si="3" ref="K46:K53">0+G46</f>
        <v>0</v>
      </c>
      <c r="L46" s="33">
        <f>0+K46</f>
        <v>0</v>
      </c>
      <c r="M46" s="34">
        <f t="shared" si="2"/>
        <v>0</v>
      </c>
      <c r="N46" s="63">
        <f t="shared" si="2"/>
        <v>0</v>
      </c>
      <c r="O46" s="64">
        <v>0</v>
      </c>
      <c r="P46" s="65">
        <v>0</v>
      </c>
      <c r="Q46" s="1"/>
      <c r="R46" s="1"/>
    </row>
    <row r="47" spans="1:18" ht="18.75" customHeight="1" thickBot="1">
      <c r="A47" s="60" t="s">
        <v>73</v>
      </c>
      <c r="B47" s="77" t="s">
        <v>55</v>
      </c>
      <c r="C47" s="78"/>
      <c r="D47" s="78"/>
      <c r="E47" s="79"/>
      <c r="F47" s="31"/>
      <c r="G47" s="33"/>
      <c r="H47" s="74"/>
      <c r="I47" s="74"/>
      <c r="J47" s="62"/>
      <c r="K47" s="33">
        <f t="shared" si="3"/>
        <v>0</v>
      </c>
      <c r="L47" s="33">
        <f>0+K47</f>
        <v>0</v>
      </c>
      <c r="M47" s="34">
        <f t="shared" si="2"/>
        <v>0</v>
      </c>
      <c r="N47" s="63">
        <f t="shared" si="2"/>
        <v>0</v>
      </c>
      <c r="O47" s="64">
        <v>0</v>
      </c>
      <c r="P47" s="65">
        <v>0</v>
      </c>
      <c r="Q47" s="1"/>
      <c r="R47" s="80"/>
    </row>
    <row r="48" spans="1:18" ht="28.5" customHeight="1" thickBot="1">
      <c r="A48" s="60" t="s">
        <v>74</v>
      </c>
      <c r="B48" s="420" t="s">
        <v>75</v>
      </c>
      <c r="C48" s="421"/>
      <c r="D48" s="422"/>
      <c r="E48" s="156">
        <v>200000</v>
      </c>
      <c r="F48" s="31">
        <f>435000+E48</f>
        <v>635000</v>
      </c>
      <c r="G48" s="74">
        <v>187715</v>
      </c>
      <c r="H48" s="74"/>
      <c r="I48" s="74"/>
      <c r="J48" s="62"/>
      <c r="K48" s="33">
        <f>0+G48</f>
        <v>187715</v>
      </c>
      <c r="L48" s="33">
        <f>359313+K48</f>
        <v>547028</v>
      </c>
      <c r="M48" s="34">
        <f>E48-K48</f>
        <v>12285</v>
      </c>
      <c r="N48" s="63">
        <f t="shared" si="2"/>
        <v>87972</v>
      </c>
      <c r="O48" s="64">
        <v>0</v>
      </c>
      <c r="P48" s="65">
        <v>0</v>
      </c>
      <c r="Q48" s="1"/>
      <c r="R48" s="37"/>
    </row>
    <row r="49" spans="1:18" ht="30.75" customHeight="1" thickBot="1">
      <c r="A49" s="60" t="s">
        <v>76</v>
      </c>
      <c r="B49" s="420" t="s">
        <v>77</v>
      </c>
      <c r="C49" s="421"/>
      <c r="D49" s="422"/>
      <c r="E49" s="156">
        <v>12600</v>
      </c>
      <c r="F49" s="157">
        <f>12600+E49</f>
        <v>25200</v>
      </c>
      <c r="G49" s="74"/>
      <c r="H49" s="74"/>
      <c r="I49" s="74"/>
      <c r="J49" s="62"/>
      <c r="K49" s="33">
        <f t="shared" si="3"/>
        <v>0</v>
      </c>
      <c r="L49" s="33">
        <f>689+K49</f>
        <v>689</v>
      </c>
      <c r="M49" s="34">
        <f t="shared" si="2"/>
        <v>12600</v>
      </c>
      <c r="N49" s="63">
        <f t="shared" si="2"/>
        <v>24511</v>
      </c>
      <c r="O49" s="64">
        <v>0</v>
      </c>
      <c r="P49" s="65">
        <v>0</v>
      </c>
      <c r="Q49" s="1"/>
      <c r="R49" s="1"/>
    </row>
    <row r="50" spans="1:18" ht="25.5" customHeight="1" thickBot="1">
      <c r="A50" s="60" t="s">
        <v>78</v>
      </c>
      <c r="B50" s="420" t="s">
        <v>79</v>
      </c>
      <c r="C50" s="421"/>
      <c r="D50" s="422"/>
      <c r="E50" s="74"/>
      <c r="F50" s="31">
        <f>0+E50</f>
        <v>0</v>
      </c>
      <c r="G50" s="74"/>
      <c r="H50" s="74"/>
      <c r="I50" s="74"/>
      <c r="J50" s="62"/>
      <c r="K50" s="33">
        <f t="shared" si="3"/>
        <v>0</v>
      </c>
      <c r="L50" s="33">
        <f aca="true" t="shared" si="4" ref="L50:L57">0+K50</f>
        <v>0</v>
      </c>
      <c r="M50" s="34">
        <f t="shared" si="2"/>
        <v>0</v>
      </c>
      <c r="N50" s="63">
        <f t="shared" si="2"/>
        <v>0</v>
      </c>
      <c r="O50" s="64">
        <v>0</v>
      </c>
      <c r="P50" s="65">
        <v>0</v>
      </c>
      <c r="Q50" s="1"/>
      <c r="R50" s="1"/>
    </row>
    <row r="51" spans="1:18" ht="43.5" customHeight="1" thickBot="1">
      <c r="A51" s="51" t="s">
        <v>80</v>
      </c>
      <c r="B51" s="423" t="s">
        <v>81</v>
      </c>
      <c r="C51" s="424"/>
      <c r="D51" s="425"/>
      <c r="E51" s="55">
        <v>0</v>
      </c>
      <c r="F51" s="55">
        <v>0</v>
      </c>
      <c r="G51" s="55"/>
      <c r="H51" s="55"/>
      <c r="I51" s="55"/>
      <c r="J51" s="54"/>
      <c r="K51" s="55">
        <f t="shared" si="3"/>
        <v>0</v>
      </c>
      <c r="L51" s="55">
        <f t="shared" si="4"/>
        <v>0</v>
      </c>
      <c r="M51" s="56">
        <f t="shared" si="2"/>
        <v>0</v>
      </c>
      <c r="N51" s="57">
        <f t="shared" si="2"/>
        <v>0</v>
      </c>
      <c r="O51" s="58">
        <v>0</v>
      </c>
      <c r="P51" s="59">
        <v>0</v>
      </c>
      <c r="Q51" s="1"/>
      <c r="R51" s="1"/>
    </row>
    <row r="52" spans="1:18" ht="27.75" customHeight="1" thickBot="1">
      <c r="A52" s="60" t="s">
        <v>82</v>
      </c>
      <c r="B52" s="405" t="s">
        <v>53</v>
      </c>
      <c r="C52" s="406"/>
      <c r="D52" s="407"/>
      <c r="E52" s="33"/>
      <c r="F52" s="33"/>
      <c r="G52" s="33"/>
      <c r="H52" s="33"/>
      <c r="I52" s="33"/>
      <c r="J52" s="62"/>
      <c r="K52" s="33">
        <f t="shared" si="3"/>
        <v>0</v>
      </c>
      <c r="L52" s="33">
        <f t="shared" si="4"/>
        <v>0</v>
      </c>
      <c r="M52" s="34">
        <f t="shared" si="2"/>
        <v>0</v>
      </c>
      <c r="N52" s="63">
        <f t="shared" si="2"/>
        <v>0</v>
      </c>
      <c r="O52" s="64">
        <v>0</v>
      </c>
      <c r="P52" s="65">
        <v>0</v>
      </c>
      <c r="Q52" s="1"/>
      <c r="R52" s="1"/>
    </row>
    <row r="53" spans="1:18" ht="24" customHeight="1" thickBot="1">
      <c r="A53" s="60" t="s">
        <v>83</v>
      </c>
      <c r="B53" s="457" t="s">
        <v>55</v>
      </c>
      <c r="C53" s="458"/>
      <c r="D53" s="459"/>
      <c r="E53" s="33"/>
      <c r="F53" s="33"/>
      <c r="G53" s="33"/>
      <c r="H53" s="33"/>
      <c r="I53" s="33"/>
      <c r="J53" s="62"/>
      <c r="K53" s="33">
        <f t="shared" si="3"/>
        <v>0</v>
      </c>
      <c r="L53" s="33">
        <f t="shared" si="4"/>
        <v>0</v>
      </c>
      <c r="M53" s="34">
        <f t="shared" si="2"/>
        <v>0</v>
      </c>
      <c r="N53" s="63">
        <f t="shared" si="2"/>
        <v>0</v>
      </c>
      <c r="O53" s="64">
        <v>0</v>
      </c>
      <c r="P53" s="65">
        <v>0</v>
      </c>
      <c r="Q53" s="1"/>
      <c r="R53" s="1"/>
    </row>
    <row r="54" spans="1:18" ht="48" customHeight="1" thickBot="1">
      <c r="A54" s="51" t="s">
        <v>84</v>
      </c>
      <c r="B54" s="408" t="s">
        <v>85</v>
      </c>
      <c r="C54" s="409"/>
      <c r="D54" s="410"/>
      <c r="E54" s="53">
        <f>SUM(E59:E63)</f>
        <v>289100</v>
      </c>
      <c r="F54" s="73">
        <f>F55+F58</f>
        <v>1038900</v>
      </c>
      <c r="G54" s="55">
        <f>G55+G56+G57+G58</f>
        <v>558212.95</v>
      </c>
      <c r="H54" s="55"/>
      <c r="I54" s="55"/>
      <c r="J54" s="55">
        <f>J55+J56+J57+J58</f>
        <v>0</v>
      </c>
      <c r="K54" s="55">
        <f>K55+K56+K57</f>
        <v>558212.95</v>
      </c>
      <c r="L54" s="55">
        <f>L55+L56+L57+L58</f>
        <v>816284.85</v>
      </c>
      <c r="M54" s="56">
        <f t="shared" si="2"/>
        <v>-269112.94999999995</v>
      </c>
      <c r="N54" s="70">
        <f t="shared" si="2"/>
        <v>222615.15000000002</v>
      </c>
      <c r="O54" s="58">
        <v>0</v>
      </c>
      <c r="P54" s="59">
        <v>0</v>
      </c>
      <c r="Q54" s="1"/>
      <c r="R54" s="37"/>
    </row>
    <row r="55" spans="1:18" ht="30" customHeight="1" thickBot="1">
      <c r="A55" s="60" t="s">
        <v>86</v>
      </c>
      <c r="B55" s="405" t="s">
        <v>53</v>
      </c>
      <c r="C55" s="406"/>
      <c r="D55" s="407"/>
      <c r="E55" s="81">
        <f>E59+E60+E62+E63-E58</f>
        <v>279600</v>
      </c>
      <c r="F55" s="31">
        <f>730800+E55</f>
        <v>1010400</v>
      </c>
      <c r="G55" s="33">
        <f>G60+G62+G63+G59</f>
        <v>558212.95</v>
      </c>
      <c r="H55" s="33"/>
      <c r="I55" s="33"/>
      <c r="J55" s="33"/>
      <c r="K55" s="33">
        <f>0+G55</f>
        <v>558212.95</v>
      </c>
      <c r="L55" s="33">
        <f>258071.9+K55</f>
        <v>816284.85</v>
      </c>
      <c r="M55" s="34">
        <f t="shared" si="2"/>
        <v>-278612.94999999995</v>
      </c>
      <c r="N55" s="63">
        <f t="shared" si="2"/>
        <v>194115.15000000002</v>
      </c>
      <c r="O55" s="64">
        <v>0</v>
      </c>
      <c r="P55" s="65">
        <v>0</v>
      </c>
      <c r="Q55" s="1"/>
      <c r="R55" s="37"/>
    </row>
    <row r="56" spans="1:18" ht="29.25" customHeight="1" thickBot="1">
      <c r="A56" s="60" t="s">
        <v>87</v>
      </c>
      <c r="B56" s="411" t="s">
        <v>88</v>
      </c>
      <c r="C56" s="412"/>
      <c r="D56" s="413"/>
      <c r="E56" s="61"/>
      <c r="F56" s="31"/>
      <c r="G56" s="33"/>
      <c r="H56" s="33"/>
      <c r="I56" s="33"/>
      <c r="J56" s="33"/>
      <c r="K56" s="33">
        <f aca="true" t="shared" si="5" ref="K56:K61">0+G56</f>
        <v>0</v>
      </c>
      <c r="L56" s="33">
        <f t="shared" si="4"/>
        <v>0</v>
      </c>
      <c r="M56" s="34">
        <f aca="true" t="shared" si="6" ref="M56:N71">E56-K56</f>
        <v>0</v>
      </c>
      <c r="N56" s="63">
        <f t="shared" si="6"/>
        <v>0</v>
      </c>
      <c r="O56" s="64">
        <v>0</v>
      </c>
      <c r="P56" s="65">
        <v>0</v>
      </c>
      <c r="Q56" s="1"/>
      <c r="R56" s="37"/>
    </row>
    <row r="57" spans="1:18" ht="22.5" customHeight="1" thickBot="1">
      <c r="A57" s="60" t="s">
        <v>89</v>
      </c>
      <c r="B57" s="435" t="s">
        <v>55</v>
      </c>
      <c r="C57" s="436"/>
      <c r="D57" s="436"/>
      <c r="E57" s="82"/>
      <c r="F57" s="31"/>
      <c r="G57" s="33"/>
      <c r="H57" s="33"/>
      <c r="I57" s="33"/>
      <c r="J57" s="33"/>
      <c r="K57" s="33">
        <f t="shared" si="5"/>
        <v>0</v>
      </c>
      <c r="L57" s="33">
        <f t="shared" si="4"/>
        <v>0</v>
      </c>
      <c r="M57" s="34">
        <f t="shared" si="6"/>
        <v>0</v>
      </c>
      <c r="N57" s="63">
        <f t="shared" si="6"/>
        <v>0</v>
      </c>
      <c r="O57" s="64">
        <v>0</v>
      </c>
      <c r="P57" s="65">
        <v>0</v>
      </c>
      <c r="Q57" s="1"/>
      <c r="R57" s="37"/>
    </row>
    <row r="58" spans="1:18" ht="35.25" customHeight="1" thickBot="1">
      <c r="A58" s="60" t="s">
        <v>90</v>
      </c>
      <c r="B58" s="383" t="s">
        <v>40</v>
      </c>
      <c r="C58" s="384"/>
      <c r="D58" s="385"/>
      <c r="E58" s="155">
        <v>9500</v>
      </c>
      <c r="F58" s="31">
        <f>19000+E58</f>
        <v>28500</v>
      </c>
      <c r="G58" s="33"/>
      <c r="H58" s="33"/>
      <c r="I58" s="33"/>
      <c r="J58" s="33">
        <f>J62+J63+J59</f>
        <v>0</v>
      </c>
      <c r="K58" s="33">
        <f>0+J58</f>
        <v>0</v>
      </c>
      <c r="L58" s="33">
        <f>0+K58</f>
        <v>0</v>
      </c>
      <c r="M58" s="34">
        <f t="shared" si="6"/>
        <v>9500</v>
      </c>
      <c r="N58" s="63">
        <f t="shared" si="6"/>
        <v>28500</v>
      </c>
      <c r="O58" s="64">
        <v>0</v>
      </c>
      <c r="P58" s="65">
        <v>0</v>
      </c>
      <c r="Q58" s="1"/>
      <c r="R58" s="37"/>
    </row>
    <row r="59" spans="1:18" ht="27.75" customHeight="1" thickBot="1">
      <c r="A59" s="60" t="s">
        <v>91</v>
      </c>
      <c r="B59" s="437" t="s">
        <v>92</v>
      </c>
      <c r="C59" s="438"/>
      <c r="D59" s="439"/>
      <c r="E59" s="156">
        <v>80000</v>
      </c>
      <c r="F59" s="31">
        <f>180000+E59</f>
        <v>260000</v>
      </c>
      <c r="G59" s="74">
        <v>67892.87</v>
      </c>
      <c r="H59" s="74"/>
      <c r="I59" s="74"/>
      <c r="J59" s="33"/>
      <c r="K59" s="33">
        <f>J59+G59</f>
        <v>67892.87</v>
      </c>
      <c r="L59" s="33">
        <f>246204.41+K59</f>
        <v>314097.28</v>
      </c>
      <c r="M59" s="34">
        <f t="shared" si="6"/>
        <v>12107.130000000005</v>
      </c>
      <c r="N59" s="35">
        <f t="shared" si="6"/>
        <v>-54097.28000000003</v>
      </c>
      <c r="O59" s="64">
        <v>0</v>
      </c>
      <c r="P59" s="65">
        <v>0</v>
      </c>
      <c r="Q59" s="1"/>
      <c r="R59" s="80"/>
    </row>
    <row r="60" spans="1:18" ht="22.5" customHeight="1" thickBot="1">
      <c r="A60" s="60" t="s">
        <v>93</v>
      </c>
      <c r="B60" s="426" t="s">
        <v>94</v>
      </c>
      <c r="C60" s="427"/>
      <c r="D60" s="427"/>
      <c r="E60" s="152">
        <v>200000</v>
      </c>
      <c r="F60" s="31">
        <f>550000+E60</f>
        <v>750000</v>
      </c>
      <c r="G60" s="74">
        <v>472905.08</v>
      </c>
      <c r="H60" s="74"/>
      <c r="I60" s="74"/>
      <c r="J60" s="33"/>
      <c r="K60" s="33">
        <f>0+G60</f>
        <v>472905.08</v>
      </c>
      <c r="L60" s="33">
        <f>0+K60</f>
        <v>472905.08</v>
      </c>
      <c r="M60" s="34">
        <f t="shared" si="6"/>
        <v>-272905.08</v>
      </c>
      <c r="N60" s="63">
        <f t="shared" si="6"/>
        <v>277094.92</v>
      </c>
      <c r="O60" s="64">
        <v>0</v>
      </c>
      <c r="P60" s="65">
        <v>0</v>
      </c>
      <c r="Q60" s="1"/>
      <c r="R60" s="37"/>
    </row>
    <row r="61" spans="1:18" ht="18" customHeight="1" thickBot="1">
      <c r="A61" s="60" t="s">
        <v>93</v>
      </c>
      <c r="B61" s="440" t="s">
        <v>95</v>
      </c>
      <c r="C61" s="441"/>
      <c r="D61" s="442"/>
      <c r="E61" s="152"/>
      <c r="F61" s="31"/>
      <c r="G61" s="74"/>
      <c r="H61" s="74"/>
      <c r="I61" s="74"/>
      <c r="J61" s="33"/>
      <c r="K61" s="33">
        <f t="shared" si="5"/>
        <v>0</v>
      </c>
      <c r="L61" s="33">
        <f>0+K61</f>
        <v>0</v>
      </c>
      <c r="M61" s="34">
        <f t="shared" si="6"/>
        <v>0</v>
      </c>
      <c r="N61" s="63">
        <f t="shared" si="6"/>
        <v>0</v>
      </c>
      <c r="O61" s="64">
        <v>0</v>
      </c>
      <c r="P61" s="65">
        <v>0</v>
      </c>
      <c r="Q61" s="1"/>
      <c r="R61" s="1"/>
    </row>
    <row r="62" spans="1:18" ht="22.5" customHeight="1" thickBot="1">
      <c r="A62" s="60" t="s">
        <v>96</v>
      </c>
      <c r="B62" s="426" t="s">
        <v>97</v>
      </c>
      <c r="C62" s="427"/>
      <c r="D62" s="428"/>
      <c r="E62" s="152">
        <v>4800</v>
      </c>
      <c r="F62" s="31">
        <f>10500+E62</f>
        <v>15300</v>
      </c>
      <c r="G62" s="83">
        <v>9300.1</v>
      </c>
      <c r="H62" s="84"/>
      <c r="I62" s="74"/>
      <c r="J62" s="74"/>
      <c r="K62" s="33">
        <f>0+J62+G62</f>
        <v>9300.1</v>
      </c>
      <c r="L62" s="33">
        <f>6337.57+K62</f>
        <v>15637.67</v>
      </c>
      <c r="M62" s="34">
        <f t="shared" si="6"/>
        <v>-4500.1</v>
      </c>
      <c r="N62" s="63">
        <f t="shared" si="6"/>
        <v>-337.6700000000001</v>
      </c>
      <c r="O62" s="64">
        <v>0</v>
      </c>
      <c r="P62" s="65">
        <v>0</v>
      </c>
      <c r="Q62" s="1"/>
      <c r="R62" s="1"/>
    </row>
    <row r="63" spans="1:18" ht="33.75" customHeight="1" thickBot="1">
      <c r="A63" s="60" t="s">
        <v>98</v>
      </c>
      <c r="B63" s="426" t="s">
        <v>99</v>
      </c>
      <c r="C63" s="427"/>
      <c r="D63" s="428"/>
      <c r="E63" s="152">
        <v>4300</v>
      </c>
      <c r="F63" s="31">
        <f>9300+E63</f>
        <v>13600</v>
      </c>
      <c r="G63" s="85">
        <v>8114.9</v>
      </c>
      <c r="H63" s="74"/>
      <c r="I63" s="74"/>
      <c r="J63" s="74"/>
      <c r="K63" s="33">
        <f>0+J63+G63</f>
        <v>8114.9</v>
      </c>
      <c r="L63" s="33">
        <f>5529.92+K63</f>
        <v>13644.82</v>
      </c>
      <c r="M63" s="34">
        <f t="shared" si="6"/>
        <v>-3814.8999999999996</v>
      </c>
      <c r="N63" s="63">
        <f t="shared" si="6"/>
        <v>-44.81999999999971</v>
      </c>
      <c r="O63" s="64">
        <v>0</v>
      </c>
      <c r="P63" s="65">
        <v>0</v>
      </c>
      <c r="Q63" s="1"/>
      <c r="R63" s="1"/>
    </row>
    <row r="64" spans="1:18" ht="36" customHeight="1" thickBot="1">
      <c r="A64" s="86" t="s">
        <v>100</v>
      </c>
      <c r="B64" s="429" t="s">
        <v>101</v>
      </c>
      <c r="C64" s="430"/>
      <c r="D64" s="431"/>
      <c r="E64" s="53">
        <f>E65</f>
        <v>0</v>
      </c>
      <c r="F64" s="73">
        <f>F65+F66</f>
        <v>48500</v>
      </c>
      <c r="G64" s="75">
        <f>G65+G66</f>
        <v>0</v>
      </c>
      <c r="H64" s="55"/>
      <c r="I64" s="55">
        <f>I66</f>
        <v>0</v>
      </c>
      <c r="J64" s="55">
        <f>J65+J66</f>
        <v>0</v>
      </c>
      <c r="K64" s="55">
        <f>K65+K66</f>
        <v>0</v>
      </c>
      <c r="L64" s="55">
        <f>L65+L66</f>
        <v>37500</v>
      </c>
      <c r="M64" s="56">
        <f t="shared" si="6"/>
        <v>0</v>
      </c>
      <c r="N64" s="70">
        <f t="shared" si="6"/>
        <v>11000</v>
      </c>
      <c r="O64" s="58">
        <v>0</v>
      </c>
      <c r="P64" s="59">
        <v>0</v>
      </c>
      <c r="Q64" s="1"/>
      <c r="R64" s="1"/>
    </row>
    <row r="65" spans="1:18" ht="21" customHeight="1" thickBot="1">
      <c r="A65" s="60" t="s">
        <v>102</v>
      </c>
      <c r="B65" s="457" t="s">
        <v>53</v>
      </c>
      <c r="C65" s="458"/>
      <c r="D65" s="459"/>
      <c r="E65" s="45"/>
      <c r="F65" s="31">
        <f>48500+E65</f>
        <v>48500</v>
      </c>
      <c r="G65" s="74"/>
      <c r="H65" s="33"/>
      <c r="I65" s="33"/>
      <c r="J65" s="33"/>
      <c r="K65" s="33">
        <f>0+G65</f>
        <v>0</v>
      </c>
      <c r="L65" s="33">
        <f>37500+K65</f>
        <v>37500</v>
      </c>
      <c r="M65" s="34">
        <f t="shared" si="6"/>
        <v>0</v>
      </c>
      <c r="N65" s="35">
        <f t="shared" si="6"/>
        <v>11000</v>
      </c>
      <c r="O65" s="64">
        <v>0</v>
      </c>
      <c r="P65" s="65">
        <v>0</v>
      </c>
      <c r="Q65" s="1"/>
      <c r="R65" s="1"/>
    </row>
    <row r="66" spans="1:18" ht="24.75" customHeight="1" thickBot="1">
      <c r="A66" s="60" t="s">
        <v>103</v>
      </c>
      <c r="B66" s="435" t="s">
        <v>104</v>
      </c>
      <c r="C66" s="436"/>
      <c r="D66" s="490"/>
      <c r="E66" s="45"/>
      <c r="F66" s="31"/>
      <c r="G66" s="74"/>
      <c r="H66" s="33"/>
      <c r="I66" s="33"/>
      <c r="J66" s="33"/>
      <c r="K66" s="33">
        <f>0+I66</f>
        <v>0</v>
      </c>
      <c r="L66" s="33">
        <f>0+K66</f>
        <v>0</v>
      </c>
      <c r="M66" s="34">
        <f t="shared" si="6"/>
        <v>0</v>
      </c>
      <c r="N66" s="35">
        <f t="shared" si="6"/>
        <v>0</v>
      </c>
      <c r="O66" s="64">
        <v>0</v>
      </c>
      <c r="P66" s="65">
        <v>0</v>
      </c>
      <c r="Q66" s="1"/>
      <c r="R66" s="1"/>
    </row>
    <row r="67" spans="1:18" ht="35.25" customHeight="1" thickBot="1">
      <c r="A67" s="69" t="s">
        <v>105</v>
      </c>
      <c r="B67" s="432" t="s">
        <v>215</v>
      </c>
      <c r="C67" s="433"/>
      <c r="D67" s="434"/>
      <c r="E67" s="53">
        <f>E68</f>
        <v>0</v>
      </c>
      <c r="F67" s="73">
        <f>F68+F69+F70</f>
        <v>100000</v>
      </c>
      <c r="G67" s="75">
        <f>G68+G69</f>
        <v>0</v>
      </c>
      <c r="H67" s="55"/>
      <c r="I67" s="55"/>
      <c r="J67" s="55"/>
      <c r="K67" s="55">
        <f>K68+K69+K70</f>
        <v>0</v>
      </c>
      <c r="L67" s="55">
        <f>0+K67</f>
        <v>0</v>
      </c>
      <c r="M67" s="56">
        <f t="shared" si="6"/>
        <v>0</v>
      </c>
      <c r="N67" s="70">
        <f t="shared" si="6"/>
        <v>100000</v>
      </c>
      <c r="O67" s="58">
        <v>0</v>
      </c>
      <c r="P67" s="59">
        <v>0</v>
      </c>
      <c r="Q67" s="1"/>
      <c r="R67" s="37"/>
    </row>
    <row r="68" spans="1:18" ht="30" customHeight="1" thickBot="1">
      <c r="A68" s="60" t="s">
        <v>107</v>
      </c>
      <c r="B68" s="446" t="s">
        <v>53</v>
      </c>
      <c r="C68" s="447"/>
      <c r="D68" s="448"/>
      <c r="E68" s="61"/>
      <c r="F68" s="31">
        <f>100000+E68</f>
        <v>100000</v>
      </c>
      <c r="G68" s="74"/>
      <c r="H68" s="33"/>
      <c r="I68" s="33"/>
      <c r="J68" s="33"/>
      <c r="K68" s="33">
        <f>G68</f>
        <v>0</v>
      </c>
      <c r="L68" s="33">
        <f>0+K68</f>
        <v>0</v>
      </c>
      <c r="M68" s="34">
        <f>E68-K68</f>
        <v>0</v>
      </c>
      <c r="N68" s="35">
        <f t="shared" si="6"/>
        <v>100000</v>
      </c>
      <c r="O68" s="64">
        <v>0</v>
      </c>
      <c r="P68" s="65">
        <v>0</v>
      </c>
      <c r="Q68" s="1"/>
      <c r="R68" s="37"/>
    </row>
    <row r="69" spans="1:18" ht="25.5" customHeight="1" thickBot="1">
      <c r="A69" s="60" t="s">
        <v>108</v>
      </c>
      <c r="B69" s="435" t="s">
        <v>104</v>
      </c>
      <c r="C69" s="436"/>
      <c r="D69" s="490"/>
      <c r="E69" s="61"/>
      <c r="F69" s="31"/>
      <c r="G69" s="74"/>
      <c r="H69" s="33"/>
      <c r="I69" s="33"/>
      <c r="J69" s="33"/>
      <c r="K69" s="33">
        <f>G69</f>
        <v>0</v>
      </c>
      <c r="L69" s="33">
        <f>0+K69</f>
        <v>0</v>
      </c>
      <c r="M69" s="34">
        <f t="shared" si="6"/>
        <v>0</v>
      </c>
      <c r="N69" s="35">
        <f t="shared" si="6"/>
        <v>0</v>
      </c>
      <c r="O69" s="64">
        <v>0</v>
      </c>
      <c r="P69" s="65">
        <v>0</v>
      </c>
      <c r="Q69" s="1"/>
      <c r="R69" s="37"/>
    </row>
    <row r="70" spans="1:18" ht="28.5" customHeight="1" thickBot="1">
      <c r="A70" s="60" t="s">
        <v>109</v>
      </c>
      <c r="B70" s="446" t="s">
        <v>55</v>
      </c>
      <c r="C70" s="447"/>
      <c r="D70" s="448"/>
      <c r="E70" s="81"/>
      <c r="F70" s="31"/>
      <c r="G70" s="74"/>
      <c r="H70" s="33"/>
      <c r="I70" s="33"/>
      <c r="J70" s="33"/>
      <c r="K70" s="33">
        <f>0+J70</f>
        <v>0</v>
      </c>
      <c r="L70" s="33">
        <f>0+K70</f>
        <v>0</v>
      </c>
      <c r="M70" s="34">
        <f t="shared" si="6"/>
        <v>0</v>
      </c>
      <c r="N70" s="35">
        <f t="shared" si="6"/>
        <v>0</v>
      </c>
      <c r="O70" s="64">
        <v>0</v>
      </c>
      <c r="P70" s="65">
        <v>0</v>
      </c>
      <c r="Q70" s="1"/>
      <c r="R70" s="37"/>
    </row>
    <row r="71" spans="1:18" ht="25.5" customHeight="1" thickBot="1">
      <c r="A71" s="87" t="s">
        <v>110</v>
      </c>
      <c r="B71" s="443" t="s">
        <v>111</v>
      </c>
      <c r="C71" s="444"/>
      <c r="D71" s="445"/>
      <c r="E71" s="53">
        <f>E72+E73</f>
        <v>3300</v>
      </c>
      <c r="F71" s="73">
        <f>F72</f>
        <v>9900</v>
      </c>
      <c r="G71" s="75">
        <f>G72+G73</f>
        <v>0</v>
      </c>
      <c r="H71" s="55"/>
      <c r="I71" s="55"/>
      <c r="J71" s="55"/>
      <c r="K71" s="55">
        <f>G71</f>
        <v>0</v>
      </c>
      <c r="L71" s="55">
        <f>L72</f>
        <v>2638</v>
      </c>
      <c r="M71" s="56">
        <f t="shared" si="6"/>
        <v>3300</v>
      </c>
      <c r="N71" s="70">
        <f t="shared" si="6"/>
        <v>7262</v>
      </c>
      <c r="O71" s="58">
        <v>0</v>
      </c>
      <c r="P71" s="59">
        <v>0</v>
      </c>
      <c r="Q71" s="1"/>
      <c r="R71" s="1"/>
    </row>
    <row r="72" spans="1:18" ht="29.25" customHeight="1" thickBot="1">
      <c r="A72" s="60" t="s">
        <v>107</v>
      </c>
      <c r="B72" s="405" t="s">
        <v>53</v>
      </c>
      <c r="C72" s="406"/>
      <c r="D72" s="407"/>
      <c r="E72" s="61">
        <v>3300</v>
      </c>
      <c r="F72" s="31">
        <f>6600+E72</f>
        <v>9900</v>
      </c>
      <c r="G72" s="74"/>
      <c r="H72" s="33"/>
      <c r="I72" s="33"/>
      <c r="J72" s="33"/>
      <c r="K72" s="33">
        <f>G72</f>
        <v>0</v>
      </c>
      <c r="L72" s="33">
        <f>2638+K72</f>
        <v>2638</v>
      </c>
      <c r="M72" s="34">
        <f aca="true" t="shared" si="7" ref="M72:N82">E72-K72</f>
        <v>3300</v>
      </c>
      <c r="N72" s="35">
        <f t="shared" si="7"/>
        <v>7262</v>
      </c>
      <c r="O72" s="64">
        <v>0</v>
      </c>
      <c r="P72" s="65">
        <v>0</v>
      </c>
      <c r="Q72" s="1"/>
      <c r="R72" s="1"/>
    </row>
    <row r="73" spans="1:18" ht="30" customHeight="1" thickBot="1">
      <c r="A73" s="60" t="s">
        <v>109</v>
      </c>
      <c r="B73" s="405" t="s">
        <v>55</v>
      </c>
      <c r="C73" s="406"/>
      <c r="D73" s="407"/>
      <c r="E73" s="81"/>
      <c r="F73" s="31"/>
      <c r="G73" s="74"/>
      <c r="H73" s="33"/>
      <c r="I73" s="33"/>
      <c r="J73" s="33"/>
      <c r="K73" s="33">
        <f>0+J73</f>
        <v>0</v>
      </c>
      <c r="L73" s="33">
        <f>0+K73</f>
        <v>0</v>
      </c>
      <c r="M73" s="34">
        <f t="shared" si="7"/>
        <v>0</v>
      </c>
      <c r="N73" s="35">
        <f t="shared" si="7"/>
        <v>0</v>
      </c>
      <c r="O73" s="64">
        <v>0</v>
      </c>
      <c r="P73" s="65">
        <v>0</v>
      </c>
      <c r="Q73" s="1"/>
      <c r="R73" s="1"/>
    </row>
    <row r="74" spans="1:18" ht="48.75" customHeight="1" thickBot="1">
      <c r="A74" s="87" t="s">
        <v>112</v>
      </c>
      <c r="B74" s="443" t="s">
        <v>113</v>
      </c>
      <c r="C74" s="444"/>
      <c r="D74" s="445"/>
      <c r="E74" s="53">
        <f>E75</f>
        <v>13000</v>
      </c>
      <c r="F74" s="73">
        <f>F75+F76</f>
        <v>47000</v>
      </c>
      <c r="G74" s="75">
        <f>G75+G76+G77</f>
        <v>38893.29</v>
      </c>
      <c r="H74" s="55"/>
      <c r="I74" s="55">
        <f>I75+I76</f>
        <v>0</v>
      </c>
      <c r="J74" s="55"/>
      <c r="K74" s="55">
        <f>K75+K76+K77</f>
        <v>38893.29</v>
      </c>
      <c r="L74" s="55">
        <f>L75+L76+L77</f>
        <v>41459.29</v>
      </c>
      <c r="M74" s="56">
        <f t="shared" si="7"/>
        <v>-25893.29</v>
      </c>
      <c r="N74" s="70">
        <f t="shared" si="7"/>
        <v>5540.709999999999</v>
      </c>
      <c r="O74" s="58">
        <v>0</v>
      </c>
      <c r="P74" s="59">
        <v>0</v>
      </c>
      <c r="Q74" s="1"/>
      <c r="R74" s="1"/>
    </row>
    <row r="75" spans="1:18" ht="29.25" customHeight="1" thickBot="1">
      <c r="A75" s="60" t="s">
        <v>114</v>
      </c>
      <c r="B75" s="405" t="s">
        <v>53</v>
      </c>
      <c r="C75" s="406"/>
      <c r="D75" s="407"/>
      <c r="E75" s="61">
        <v>13000</v>
      </c>
      <c r="F75" s="31">
        <f>34000+E75</f>
        <v>47000</v>
      </c>
      <c r="G75" s="74">
        <v>38893.29</v>
      </c>
      <c r="H75" s="33"/>
      <c r="I75" s="33"/>
      <c r="J75" s="33"/>
      <c r="K75" s="33">
        <f>G75</f>
        <v>38893.29</v>
      </c>
      <c r="L75" s="33">
        <f>2566+K75</f>
        <v>41459.29</v>
      </c>
      <c r="M75" s="34">
        <f>E75-K75</f>
        <v>-25893.29</v>
      </c>
      <c r="N75" s="35">
        <f t="shared" si="7"/>
        <v>5540.709999999999</v>
      </c>
      <c r="O75" s="64">
        <v>0</v>
      </c>
      <c r="P75" s="65">
        <v>0</v>
      </c>
      <c r="Q75" s="1"/>
      <c r="R75" s="1"/>
    </row>
    <row r="76" spans="1:18" ht="19.5" customHeight="1" thickBot="1">
      <c r="A76" s="60" t="s">
        <v>115</v>
      </c>
      <c r="B76" s="435" t="s">
        <v>104</v>
      </c>
      <c r="C76" s="436"/>
      <c r="D76" s="490"/>
      <c r="E76" s="81"/>
      <c r="F76" s="31"/>
      <c r="G76" s="74"/>
      <c r="H76" s="33"/>
      <c r="I76" s="33"/>
      <c r="J76" s="33"/>
      <c r="K76" s="33">
        <f>I76</f>
        <v>0</v>
      </c>
      <c r="L76" s="33">
        <f>0+K76</f>
        <v>0</v>
      </c>
      <c r="M76" s="34">
        <f t="shared" si="7"/>
        <v>0</v>
      </c>
      <c r="N76" s="35">
        <f t="shared" si="7"/>
        <v>0</v>
      </c>
      <c r="O76" s="64">
        <v>0</v>
      </c>
      <c r="P76" s="65">
        <v>0</v>
      </c>
      <c r="Q76" s="1"/>
      <c r="R76" s="1"/>
    </row>
    <row r="77" spans="1:18" ht="26.25" customHeight="1" thickBot="1">
      <c r="A77" s="60" t="s">
        <v>116</v>
      </c>
      <c r="B77" s="405" t="s">
        <v>55</v>
      </c>
      <c r="C77" s="406"/>
      <c r="D77" s="407"/>
      <c r="E77" s="61"/>
      <c r="F77" s="31"/>
      <c r="G77" s="74"/>
      <c r="H77" s="33"/>
      <c r="I77" s="33"/>
      <c r="J77" s="33"/>
      <c r="K77" s="33">
        <f>0+J77</f>
        <v>0</v>
      </c>
      <c r="L77" s="33">
        <f>0+K77</f>
        <v>0</v>
      </c>
      <c r="M77" s="34">
        <f t="shared" si="7"/>
        <v>0</v>
      </c>
      <c r="N77" s="35">
        <f t="shared" si="7"/>
        <v>0</v>
      </c>
      <c r="O77" s="64">
        <v>0</v>
      </c>
      <c r="P77" s="65">
        <v>0</v>
      </c>
      <c r="Q77" s="1"/>
      <c r="R77" s="1"/>
    </row>
    <row r="78" spans="1:18" ht="51" customHeight="1" thickBot="1">
      <c r="A78" s="69" t="s">
        <v>117</v>
      </c>
      <c r="B78" s="408" t="s">
        <v>118</v>
      </c>
      <c r="C78" s="409"/>
      <c r="D78" s="410"/>
      <c r="E78" s="53">
        <f>E79</f>
        <v>0</v>
      </c>
      <c r="F78" s="73">
        <f>F79</f>
        <v>1000</v>
      </c>
      <c r="G78" s="75">
        <f>G79</f>
        <v>0</v>
      </c>
      <c r="H78" s="55"/>
      <c r="I78" s="55"/>
      <c r="J78" s="55"/>
      <c r="K78" s="55">
        <f>0+J78+G78</f>
        <v>0</v>
      </c>
      <c r="L78" s="55">
        <f>L79</f>
        <v>1068.5</v>
      </c>
      <c r="M78" s="56">
        <f t="shared" si="7"/>
        <v>0</v>
      </c>
      <c r="N78" s="70">
        <f t="shared" si="7"/>
        <v>-68.5</v>
      </c>
      <c r="O78" s="58">
        <v>0</v>
      </c>
      <c r="P78" s="59">
        <v>0</v>
      </c>
      <c r="Q78" s="1"/>
      <c r="R78" s="1"/>
    </row>
    <row r="79" spans="1:18" ht="27" customHeight="1" thickBot="1">
      <c r="A79" s="60" t="s">
        <v>119</v>
      </c>
      <c r="B79" s="405" t="s">
        <v>53</v>
      </c>
      <c r="C79" s="406"/>
      <c r="D79" s="407"/>
      <c r="E79" s="81"/>
      <c r="F79" s="31">
        <f>1000+E79</f>
        <v>1000</v>
      </c>
      <c r="G79" s="74"/>
      <c r="H79" s="33"/>
      <c r="I79" s="33"/>
      <c r="J79" s="33"/>
      <c r="K79" s="33">
        <f>0+J79+G79</f>
        <v>0</v>
      </c>
      <c r="L79" s="33">
        <f>1068.5+K79</f>
        <v>1068.5</v>
      </c>
      <c r="M79" s="34">
        <f>E79-K79</f>
        <v>0</v>
      </c>
      <c r="N79" s="35">
        <f t="shared" si="7"/>
        <v>-68.5</v>
      </c>
      <c r="O79" s="64">
        <v>0</v>
      </c>
      <c r="P79" s="65">
        <v>0</v>
      </c>
      <c r="Q79" s="1"/>
      <c r="R79" s="1"/>
    </row>
    <row r="80" spans="1:18" ht="27.75" customHeight="1" thickBot="1">
      <c r="A80" s="69" t="s">
        <v>120</v>
      </c>
      <c r="B80" s="408" t="s">
        <v>121</v>
      </c>
      <c r="C80" s="409"/>
      <c r="D80" s="410"/>
      <c r="E80" s="53">
        <f>E81</f>
        <v>18500</v>
      </c>
      <c r="F80" s="73">
        <f>F81</f>
        <v>18500</v>
      </c>
      <c r="G80" s="75">
        <f>G81+G82</f>
        <v>0</v>
      </c>
      <c r="H80" s="55"/>
      <c r="I80" s="55"/>
      <c r="J80" s="55"/>
      <c r="K80" s="55">
        <f>0+J80+G80</f>
        <v>0</v>
      </c>
      <c r="L80" s="55">
        <f>0+K80</f>
        <v>0</v>
      </c>
      <c r="M80" s="56">
        <f t="shared" si="7"/>
        <v>18500</v>
      </c>
      <c r="N80" s="70">
        <f t="shared" si="7"/>
        <v>18500</v>
      </c>
      <c r="O80" s="58">
        <v>0</v>
      </c>
      <c r="P80" s="59">
        <v>0</v>
      </c>
      <c r="Q80" s="1"/>
      <c r="R80" s="1"/>
    </row>
    <row r="81" spans="1:18" ht="21" customHeight="1" thickBot="1">
      <c r="A81" s="60" t="s">
        <v>122</v>
      </c>
      <c r="B81" s="435" t="s">
        <v>53</v>
      </c>
      <c r="C81" s="436"/>
      <c r="D81" s="490"/>
      <c r="E81" s="81">
        <v>18500</v>
      </c>
      <c r="F81" s="31">
        <f>0+E81</f>
        <v>18500</v>
      </c>
      <c r="G81" s="89"/>
      <c r="H81" s="90"/>
      <c r="I81" s="91"/>
      <c r="J81" s="90"/>
      <c r="K81" s="33">
        <f>0+J81+G81</f>
        <v>0</v>
      </c>
      <c r="L81" s="33">
        <f>0+K81</f>
        <v>0</v>
      </c>
      <c r="M81" s="34">
        <f t="shared" si="7"/>
        <v>18500</v>
      </c>
      <c r="N81" s="35">
        <f t="shared" si="7"/>
        <v>18500</v>
      </c>
      <c r="O81" s="64">
        <v>0</v>
      </c>
      <c r="P81" s="65">
        <v>0</v>
      </c>
      <c r="Q81" s="1"/>
      <c r="R81" s="1"/>
    </row>
    <row r="82" spans="1:18" ht="19.5" customHeight="1" thickBot="1">
      <c r="A82" s="60" t="s">
        <v>123</v>
      </c>
      <c r="B82" s="435" t="s">
        <v>55</v>
      </c>
      <c r="C82" s="436"/>
      <c r="D82" s="490"/>
      <c r="E82" s="81"/>
      <c r="F82" s="33"/>
      <c r="G82" s="74"/>
      <c r="H82" s="92"/>
      <c r="I82" s="33"/>
      <c r="J82" s="92"/>
      <c r="K82" s="33">
        <f>0+J82</f>
        <v>0</v>
      </c>
      <c r="L82" s="33">
        <f>0+K82</f>
        <v>0</v>
      </c>
      <c r="M82" s="34">
        <f>E82-K82</f>
        <v>0</v>
      </c>
      <c r="N82" s="35">
        <f t="shared" si="7"/>
        <v>0</v>
      </c>
      <c r="O82" s="64">
        <v>0</v>
      </c>
      <c r="P82" s="65">
        <v>0</v>
      </c>
      <c r="Q82" s="1"/>
      <c r="R82" s="1"/>
    </row>
    <row r="83" spans="1:18" ht="15">
      <c r="A83" s="449"/>
      <c r="B83" s="451" t="s">
        <v>43</v>
      </c>
      <c r="C83" s="452"/>
      <c r="D83" s="452"/>
      <c r="E83" s="452"/>
      <c r="F83" s="452"/>
      <c r="G83" s="452"/>
      <c r="H83" s="452"/>
      <c r="I83" s="452"/>
      <c r="J83" s="452"/>
      <c r="K83" s="452"/>
      <c r="L83" s="452"/>
      <c r="M83" s="452"/>
      <c r="N83" s="452"/>
      <c r="O83" s="452"/>
      <c r="P83" s="453"/>
      <c r="Q83" s="1"/>
      <c r="R83" s="1"/>
    </row>
    <row r="84" spans="1:18" ht="2.25" customHeight="1" thickBot="1">
      <c r="A84" s="450"/>
      <c r="B84" s="454"/>
      <c r="C84" s="455"/>
      <c r="D84" s="455"/>
      <c r="E84" s="455"/>
      <c r="F84" s="455"/>
      <c r="G84" s="455"/>
      <c r="H84" s="455"/>
      <c r="I84" s="455"/>
      <c r="J84" s="455"/>
      <c r="K84" s="455"/>
      <c r="L84" s="455"/>
      <c r="M84" s="455"/>
      <c r="N84" s="455"/>
      <c r="O84" s="455"/>
      <c r="P84" s="456"/>
      <c r="Q84" s="1"/>
      <c r="R84" s="1"/>
    </row>
    <row r="85" spans="1:18" ht="15.75" thickBot="1">
      <c r="A85" s="449"/>
      <c r="B85" s="364" t="s">
        <v>14</v>
      </c>
      <c r="C85" s="365"/>
      <c r="D85" s="366"/>
      <c r="E85" s="401" t="s">
        <v>24</v>
      </c>
      <c r="F85" s="403" t="s">
        <v>25</v>
      </c>
      <c r="G85" s="338" t="s">
        <v>44</v>
      </c>
      <c r="H85" s="321"/>
      <c r="I85" s="321"/>
      <c r="J85" s="321"/>
      <c r="K85" s="339"/>
      <c r="L85" s="340" t="s">
        <v>16</v>
      </c>
      <c r="M85" s="340" t="s">
        <v>17</v>
      </c>
      <c r="N85" s="340" t="s">
        <v>18</v>
      </c>
      <c r="O85" s="340" t="s">
        <v>19</v>
      </c>
      <c r="P85" s="340" t="s">
        <v>20</v>
      </c>
      <c r="Q85" s="1"/>
      <c r="R85" s="1"/>
    </row>
    <row r="86" spans="1:18" ht="57.75" customHeight="1" thickBot="1">
      <c r="A86" s="450"/>
      <c r="B86" s="367"/>
      <c r="C86" s="368"/>
      <c r="D86" s="369"/>
      <c r="E86" s="402"/>
      <c r="F86" s="404"/>
      <c r="G86" s="161" t="s">
        <v>45</v>
      </c>
      <c r="H86" s="161" t="s">
        <v>46</v>
      </c>
      <c r="I86" s="161" t="s">
        <v>47</v>
      </c>
      <c r="J86" s="7" t="s">
        <v>124</v>
      </c>
      <c r="K86" s="8" t="s">
        <v>27</v>
      </c>
      <c r="L86" s="341"/>
      <c r="M86" s="341"/>
      <c r="N86" s="341"/>
      <c r="O86" s="341"/>
      <c r="P86" s="341"/>
      <c r="Q86" s="1"/>
      <c r="R86" s="1"/>
    </row>
    <row r="87" spans="1:18" ht="15.75" thickBot="1">
      <c r="A87" s="60"/>
      <c r="B87" s="342">
        <v>1</v>
      </c>
      <c r="C87" s="343"/>
      <c r="D87" s="344"/>
      <c r="E87" s="17" t="s">
        <v>22</v>
      </c>
      <c r="F87" s="161">
        <v>3</v>
      </c>
      <c r="G87" s="161">
        <v>4</v>
      </c>
      <c r="H87" s="161">
        <v>5</v>
      </c>
      <c r="I87" s="7">
        <v>6</v>
      </c>
      <c r="J87" s="7">
        <v>7</v>
      </c>
      <c r="K87" s="48">
        <v>8</v>
      </c>
      <c r="L87" s="165">
        <v>9</v>
      </c>
      <c r="M87" s="7">
        <v>10</v>
      </c>
      <c r="N87" s="165">
        <v>11</v>
      </c>
      <c r="O87" s="7">
        <v>12</v>
      </c>
      <c r="P87" s="165">
        <v>13</v>
      </c>
      <c r="Q87" s="1"/>
      <c r="R87" s="1"/>
    </row>
    <row r="88" spans="1:18" ht="51" customHeight="1" thickBot="1">
      <c r="A88" s="51" t="s">
        <v>125</v>
      </c>
      <c r="B88" s="408" t="s">
        <v>126</v>
      </c>
      <c r="C88" s="409"/>
      <c r="D88" s="410"/>
      <c r="E88" s="53">
        <f>E89</f>
        <v>29380</v>
      </c>
      <c r="F88" s="73">
        <f>F89+F90+F91+F92</f>
        <v>96140</v>
      </c>
      <c r="G88" s="53">
        <f>G89+G90+G91+G92</f>
        <v>28190.8</v>
      </c>
      <c r="H88" s="55"/>
      <c r="I88" s="55">
        <f>I89+I90+I91</f>
        <v>0</v>
      </c>
      <c r="J88" s="55"/>
      <c r="K88" s="93">
        <f>K89+K90+K91+K92</f>
        <v>28190.8</v>
      </c>
      <c r="L88" s="55">
        <f>L89+L90+L91+L92</f>
        <v>98673.27</v>
      </c>
      <c r="M88" s="56">
        <f aca="true" t="shared" si="8" ref="M88:N103">E88-K88</f>
        <v>1189.2000000000007</v>
      </c>
      <c r="N88" s="70">
        <f t="shared" si="8"/>
        <v>-2533.270000000004</v>
      </c>
      <c r="O88" s="58">
        <v>0</v>
      </c>
      <c r="P88" s="59">
        <v>0</v>
      </c>
      <c r="Q88" s="37"/>
      <c r="R88" s="1"/>
    </row>
    <row r="89" spans="1:18" ht="26.25" customHeight="1" thickBot="1">
      <c r="A89" s="60" t="s">
        <v>127</v>
      </c>
      <c r="B89" s="405" t="s">
        <v>53</v>
      </c>
      <c r="C89" s="406"/>
      <c r="D89" s="407"/>
      <c r="E89" s="61">
        <f>E93+E94+E96+E97+E98+E100+E99+E95</f>
        <v>29380</v>
      </c>
      <c r="F89" s="31">
        <f>66760+E89</f>
        <v>96140</v>
      </c>
      <c r="G89" s="45">
        <f>G93+G94+G96+G97+G98+G99+G100</f>
        <v>28190.8</v>
      </c>
      <c r="H89" s="33"/>
      <c r="I89" s="33"/>
      <c r="J89" s="33"/>
      <c r="K89" s="94">
        <f>G89</f>
        <v>28190.8</v>
      </c>
      <c r="L89" s="33">
        <f>L93+L94+L96+L97+L98+L99+L100+L95</f>
        <v>98673.27</v>
      </c>
      <c r="M89" s="34">
        <f t="shared" si="8"/>
        <v>1189.2000000000007</v>
      </c>
      <c r="N89" s="35">
        <f t="shared" si="8"/>
        <v>-2533.270000000004</v>
      </c>
      <c r="O89" s="64">
        <v>0</v>
      </c>
      <c r="P89" s="65">
        <v>0</v>
      </c>
      <c r="Q89" s="37"/>
      <c r="R89" s="1"/>
    </row>
    <row r="90" spans="1:18" ht="15.75" thickBot="1">
      <c r="A90" s="60" t="s">
        <v>128</v>
      </c>
      <c r="B90" s="457" t="s">
        <v>51</v>
      </c>
      <c r="C90" s="458"/>
      <c r="D90" s="459"/>
      <c r="E90" s="61"/>
      <c r="F90" s="31"/>
      <c r="G90" s="45"/>
      <c r="H90" s="33"/>
      <c r="I90" s="33"/>
      <c r="J90" s="33"/>
      <c r="K90" s="94">
        <f aca="true" t="shared" si="9" ref="K90:K99">G90</f>
        <v>0</v>
      </c>
      <c r="L90" s="33"/>
      <c r="M90" s="34">
        <f t="shared" si="8"/>
        <v>0</v>
      </c>
      <c r="N90" s="35">
        <f t="shared" si="8"/>
        <v>0</v>
      </c>
      <c r="O90" s="64">
        <v>0</v>
      </c>
      <c r="P90" s="65">
        <v>0</v>
      </c>
      <c r="Q90" s="37"/>
      <c r="R90" s="1"/>
    </row>
    <row r="91" spans="1:18" ht="27.75" customHeight="1" thickBot="1">
      <c r="A91" s="60" t="s">
        <v>129</v>
      </c>
      <c r="B91" s="405" t="s">
        <v>104</v>
      </c>
      <c r="C91" s="406"/>
      <c r="D91" s="407"/>
      <c r="E91" s="61"/>
      <c r="F91" s="31"/>
      <c r="G91" s="45"/>
      <c r="H91" s="33"/>
      <c r="I91" s="33">
        <f>I97</f>
        <v>0</v>
      </c>
      <c r="J91" s="33"/>
      <c r="K91" s="94">
        <f>I91</f>
        <v>0</v>
      </c>
      <c r="L91" s="33">
        <f aca="true" t="shared" si="10" ref="L91:L116">0+K91</f>
        <v>0</v>
      </c>
      <c r="M91" s="34">
        <f t="shared" si="8"/>
        <v>0</v>
      </c>
      <c r="N91" s="35">
        <f t="shared" si="8"/>
        <v>0</v>
      </c>
      <c r="O91" s="64">
        <v>0</v>
      </c>
      <c r="P91" s="65">
        <v>0</v>
      </c>
      <c r="Q91" s="37"/>
      <c r="R91" s="1"/>
    </row>
    <row r="92" spans="1:18" ht="27" customHeight="1" thickBot="1">
      <c r="A92" s="60" t="s">
        <v>130</v>
      </c>
      <c r="B92" s="405" t="s">
        <v>55</v>
      </c>
      <c r="C92" s="406"/>
      <c r="D92" s="407"/>
      <c r="E92" s="61"/>
      <c r="F92" s="31"/>
      <c r="G92" s="45"/>
      <c r="H92" s="33"/>
      <c r="I92" s="33"/>
      <c r="J92" s="33"/>
      <c r="K92" s="94">
        <f t="shared" si="9"/>
        <v>0</v>
      </c>
      <c r="L92" s="33">
        <f t="shared" si="10"/>
        <v>0</v>
      </c>
      <c r="M92" s="34">
        <f t="shared" si="8"/>
        <v>0</v>
      </c>
      <c r="N92" s="35">
        <f t="shared" si="8"/>
        <v>0</v>
      </c>
      <c r="O92" s="64">
        <v>0</v>
      </c>
      <c r="P92" s="65">
        <v>0</v>
      </c>
      <c r="Q92" s="37"/>
      <c r="R92" s="80"/>
    </row>
    <row r="93" spans="1:18" ht="15.75" thickBot="1">
      <c r="A93" s="60" t="s">
        <v>131</v>
      </c>
      <c r="B93" s="420" t="s">
        <v>132</v>
      </c>
      <c r="C93" s="421"/>
      <c r="D93" s="422"/>
      <c r="E93" s="152">
        <v>3150</v>
      </c>
      <c r="F93" s="31">
        <f>6300+E93</f>
        <v>9450</v>
      </c>
      <c r="G93" s="45">
        <v>9000</v>
      </c>
      <c r="H93" s="74"/>
      <c r="I93" s="74"/>
      <c r="J93" s="74"/>
      <c r="K93" s="94">
        <f t="shared" si="9"/>
        <v>9000</v>
      </c>
      <c r="L93" s="33">
        <f t="shared" si="10"/>
        <v>9000</v>
      </c>
      <c r="M93" s="34">
        <f t="shared" si="8"/>
        <v>-5850</v>
      </c>
      <c r="N93" s="35">
        <f t="shared" si="8"/>
        <v>450</v>
      </c>
      <c r="O93" s="64">
        <v>0</v>
      </c>
      <c r="P93" s="65">
        <v>0</v>
      </c>
      <c r="Q93" s="1"/>
      <c r="R93" s="37"/>
    </row>
    <row r="94" spans="1:18" ht="30" customHeight="1" thickBot="1">
      <c r="A94" s="60" t="s">
        <v>133</v>
      </c>
      <c r="B94" s="414" t="s">
        <v>134</v>
      </c>
      <c r="C94" s="415"/>
      <c r="D94" s="416"/>
      <c r="E94" s="152">
        <v>4600</v>
      </c>
      <c r="F94" s="31">
        <f>9200+E94</f>
        <v>13800</v>
      </c>
      <c r="G94" s="45"/>
      <c r="H94" s="74"/>
      <c r="I94" s="74"/>
      <c r="J94" s="74"/>
      <c r="K94" s="94">
        <f>G94</f>
        <v>0</v>
      </c>
      <c r="L94" s="33">
        <f>13200+K94</f>
        <v>13200</v>
      </c>
      <c r="M94" s="34">
        <f t="shared" si="8"/>
        <v>4600</v>
      </c>
      <c r="N94" s="35">
        <f t="shared" si="8"/>
        <v>600</v>
      </c>
      <c r="O94" s="64">
        <v>0</v>
      </c>
      <c r="P94" s="65">
        <v>0</v>
      </c>
      <c r="Q94" s="1"/>
      <c r="R94" s="1"/>
    </row>
    <row r="95" spans="1:18" ht="27.75" customHeight="1" thickBot="1">
      <c r="A95" s="60" t="s">
        <v>135</v>
      </c>
      <c r="B95" s="420" t="s">
        <v>136</v>
      </c>
      <c r="C95" s="421"/>
      <c r="D95" s="422"/>
      <c r="E95" s="152"/>
      <c r="F95" s="31">
        <f>0+E95</f>
        <v>0</v>
      </c>
      <c r="G95" s="45"/>
      <c r="H95" s="74"/>
      <c r="I95" s="74"/>
      <c r="J95" s="74"/>
      <c r="K95" s="94">
        <f t="shared" si="9"/>
        <v>0</v>
      </c>
      <c r="L95" s="33">
        <f t="shared" si="10"/>
        <v>0</v>
      </c>
      <c r="M95" s="34">
        <f t="shared" si="8"/>
        <v>0</v>
      </c>
      <c r="N95" s="35">
        <f t="shared" si="8"/>
        <v>0</v>
      </c>
      <c r="O95" s="64">
        <v>0</v>
      </c>
      <c r="P95" s="65">
        <v>0</v>
      </c>
      <c r="Q95" s="1"/>
      <c r="R95" s="1"/>
    </row>
    <row r="96" spans="1:18" ht="21" customHeight="1" thickBot="1">
      <c r="A96" s="60" t="s">
        <v>137</v>
      </c>
      <c r="B96" s="420" t="s">
        <v>138</v>
      </c>
      <c r="C96" s="421"/>
      <c r="D96" s="422"/>
      <c r="E96" s="152">
        <v>1420</v>
      </c>
      <c r="F96" s="31">
        <f>2840+E96</f>
        <v>4260</v>
      </c>
      <c r="G96" s="45">
        <v>2460</v>
      </c>
      <c r="H96" s="74"/>
      <c r="I96" s="74"/>
      <c r="J96" s="74"/>
      <c r="K96" s="94">
        <f t="shared" si="9"/>
        <v>2460</v>
      </c>
      <c r="L96" s="33">
        <f>845+K96</f>
        <v>3305</v>
      </c>
      <c r="M96" s="34">
        <f t="shared" si="8"/>
        <v>-1040</v>
      </c>
      <c r="N96" s="35">
        <f t="shared" si="8"/>
        <v>955</v>
      </c>
      <c r="O96" s="64">
        <v>0</v>
      </c>
      <c r="P96" s="65">
        <v>0</v>
      </c>
      <c r="Q96" s="1"/>
      <c r="R96" s="1"/>
    </row>
    <row r="97" spans="1:18" ht="18.75" customHeight="1" thickBot="1">
      <c r="A97" s="60" t="s">
        <v>139</v>
      </c>
      <c r="B97" s="420" t="s">
        <v>140</v>
      </c>
      <c r="C97" s="421"/>
      <c r="D97" s="422"/>
      <c r="E97" s="152">
        <v>7500</v>
      </c>
      <c r="F97" s="31">
        <f>15000+E97</f>
        <v>22500</v>
      </c>
      <c r="G97" s="45">
        <v>6568.86</v>
      </c>
      <c r="H97" s="74"/>
      <c r="I97" s="74"/>
      <c r="J97" s="74"/>
      <c r="K97" s="94">
        <f>G97+I97</f>
        <v>6568.86</v>
      </c>
      <c r="L97" s="33">
        <f>9910.27+K97</f>
        <v>16479.13</v>
      </c>
      <c r="M97" s="34">
        <f t="shared" si="8"/>
        <v>931.1400000000003</v>
      </c>
      <c r="N97" s="35">
        <f t="shared" si="8"/>
        <v>6020.869999999999</v>
      </c>
      <c r="O97" s="64">
        <v>0</v>
      </c>
      <c r="P97" s="65">
        <v>0</v>
      </c>
      <c r="Q97" s="1"/>
      <c r="R97" s="71"/>
    </row>
    <row r="98" spans="1:16" ht="22.5" customHeight="1" thickBot="1">
      <c r="A98" s="60" t="s">
        <v>141</v>
      </c>
      <c r="B98" s="491" t="s">
        <v>142</v>
      </c>
      <c r="C98" s="492"/>
      <c r="D98" s="493"/>
      <c r="E98" s="152">
        <v>2910</v>
      </c>
      <c r="F98" s="31">
        <f>5820+E98</f>
        <v>8730</v>
      </c>
      <c r="G98" s="45">
        <v>3000</v>
      </c>
      <c r="H98" s="74"/>
      <c r="I98" s="74"/>
      <c r="J98" s="74"/>
      <c r="K98" s="94">
        <f t="shared" si="9"/>
        <v>3000</v>
      </c>
      <c r="L98" s="33">
        <f>4044+K98</f>
        <v>7044</v>
      </c>
      <c r="M98" s="34">
        <f t="shared" si="8"/>
        <v>-90</v>
      </c>
      <c r="N98" s="35">
        <f t="shared" si="8"/>
        <v>1686</v>
      </c>
      <c r="O98" s="64">
        <v>0</v>
      </c>
      <c r="P98" s="65">
        <v>0</v>
      </c>
    </row>
    <row r="99" spans="1:16" ht="30" customHeight="1" thickBot="1">
      <c r="A99" s="60" t="s">
        <v>143</v>
      </c>
      <c r="B99" s="420" t="s">
        <v>144</v>
      </c>
      <c r="C99" s="421"/>
      <c r="D99" s="422"/>
      <c r="E99" s="152"/>
      <c r="F99" s="31">
        <f>8000+E99</f>
        <v>8000</v>
      </c>
      <c r="G99" s="45"/>
      <c r="H99" s="74"/>
      <c r="I99" s="74"/>
      <c r="J99" s="74"/>
      <c r="K99" s="94">
        <f t="shared" si="9"/>
        <v>0</v>
      </c>
      <c r="L99" s="33">
        <f>5000+K99</f>
        <v>5000</v>
      </c>
      <c r="M99" s="34">
        <f t="shared" si="8"/>
        <v>0</v>
      </c>
      <c r="N99" s="35">
        <f t="shared" si="8"/>
        <v>3000</v>
      </c>
      <c r="O99" s="64">
        <v>0</v>
      </c>
      <c r="P99" s="65">
        <v>0</v>
      </c>
    </row>
    <row r="100" spans="1:16" ht="15.75" thickBot="1">
      <c r="A100" s="60" t="s">
        <v>145</v>
      </c>
      <c r="B100" s="420" t="s">
        <v>146</v>
      </c>
      <c r="C100" s="421"/>
      <c r="D100" s="422"/>
      <c r="E100" s="152">
        <v>9800</v>
      </c>
      <c r="F100" s="31">
        <f>19600+E100</f>
        <v>29400</v>
      </c>
      <c r="G100" s="45">
        <v>7161.94</v>
      </c>
      <c r="H100" s="74"/>
      <c r="I100" s="74"/>
      <c r="J100" s="74"/>
      <c r="K100" s="94">
        <f>G100</f>
        <v>7161.94</v>
      </c>
      <c r="L100" s="33">
        <f>37483.2+K100</f>
        <v>44645.14</v>
      </c>
      <c r="M100" s="34">
        <f t="shared" si="8"/>
        <v>2638.0600000000004</v>
      </c>
      <c r="N100" s="35">
        <f t="shared" si="8"/>
        <v>-15245.14</v>
      </c>
      <c r="O100" s="64">
        <v>0</v>
      </c>
      <c r="P100" s="65">
        <v>0</v>
      </c>
    </row>
    <row r="101" spans="1:18" ht="32.25" customHeight="1" thickBot="1">
      <c r="A101" s="86" t="s">
        <v>147</v>
      </c>
      <c r="B101" s="423" t="s">
        <v>148</v>
      </c>
      <c r="C101" s="424"/>
      <c r="D101" s="425"/>
      <c r="E101" s="73">
        <f>E102+E103</f>
        <v>22200</v>
      </c>
      <c r="F101" s="73">
        <f>F102+F103+F104+F105</f>
        <v>107300</v>
      </c>
      <c r="G101" s="73">
        <f>G102+G104+G105</f>
        <v>395417.19</v>
      </c>
      <c r="H101" s="75">
        <f>H103</f>
        <v>0</v>
      </c>
      <c r="I101" s="55">
        <f>I104</f>
        <v>0</v>
      </c>
      <c r="J101" s="55"/>
      <c r="K101" s="73">
        <f>G101+H101+I101+J101</f>
        <v>395417.19</v>
      </c>
      <c r="L101" s="55">
        <f>L102+L103+L104+L105</f>
        <v>399966.49</v>
      </c>
      <c r="M101" s="56">
        <f t="shared" si="8"/>
        <v>-373217.19</v>
      </c>
      <c r="N101" s="70">
        <f t="shared" si="8"/>
        <v>-292666.49</v>
      </c>
      <c r="O101" s="58">
        <v>0</v>
      </c>
      <c r="P101" s="59">
        <v>0</v>
      </c>
      <c r="R101" s="95"/>
    </row>
    <row r="102" spans="1:18" ht="29.25" customHeight="1" thickBot="1">
      <c r="A102" s="60" t="s">
        <v>149</v>
      </c>
      <c r="B102" s="405" t="s">
        <v>53</v>
      </c>
      <c r="C102" s="406"/>
      <c r="D102" s="407"/>
      <c r="E102" s="61">
        <f>E106+E107+E114+E119+E131+E113+E128+E115+E120</f>
        <v>22200</v>
      </c>
      <c r="F102" s="31">
        <f>85100+E102</f>
        <v>107300</v>
      </c>
      <c r="G102" s="74">
        <f>G113+G114+G118+G120+G128</f>
        <v>395417.19</v>
      </c>
      <c r="H102" s="74"/>
      <c r="I102" s="33"/>
      <c r="J102" s="33"/>
      <c r="K102" s="94">
        <f>G102</f>
        <v>395417.19</v>
      </c>
      <c r="L102" s="33">
        <f>4549.3+K102</f>
        <v>399966.49</v>
      </c>
      <c r="M102" s="34">
        <f t="shared" si="8"/>
        <v>-373217.19</v>
      </c>
      <c r="N102" s="35">
        <f t="shared" si="8"/>
        <v>-292666.49</v>
      </c>
      <c r="O102" s="64">
        <v>0</v>
      </c>
      <c r="P102" s="65">
        <v>0</v>
      </c>
      <c r="R102" s="95"/>
    </row>
    <row r="103" spans="1:18" ht="20.25" customHeight="1" thickBot="1">
      <c r="A103" s="60" t="s">
        <v>150</v>
      </c>
      <c r="B103" s="457" t="s">
        <v>51</v>
      </c>
      <c r="C103" s="458"/>
      <c r="D103" s="459"/>
      <c r="E103" s="61">
        <f>E129</f>
        <v>0</v>
      </c>
      <c r="F103" s="31">
        <f>0+E103</f>
        <v>0</v>
      </c>
      <c r="G103" s="74"/>
      <c r="H103" s="74">
        <f>H129</f>
        <v>0</v>
      </c>
      <c r="I103" s="33"/>
      <c r="J103" s="33"/>
      <c r="K103" s="94">
        <f>H103</f>
        <v>0</v>
      </c>
      <c r="L103" s="33">
        <f>0+K103</f>
        <v>0</v>
      </c>
      <c r="M103" s="34">
        <f t="shared" si="8"/>
        <v>0</v>
      </c>
      <c r="N103" s="35">
        <f t="shared" si="8"/>
        <v>0</v>
      </c>
      <c r="O103" s="64">
        <v>0</v>
      </c>
      <c r="P103" s="65">
        <v>0</v>
      </c>
      <c r="R103" s="96"/>
    </row>
    <row r="104" spans="1:16" ht="27.75" customHeight="1" thickBot="1">
      <c r="A104" s="60" t="s">
        <v>151</v>
      </c>
      <c r="B104" s="405" t="s">
        <v>104</v>
      </c>
      <c r="C104" s="406"/>
      <c r="D104" s="407"/>
      <c r="E104" s="61"/>
      <c r="F104" s="31"/>
      <c r="G104" s="31"/>
      <c r="H104" s="74"/>
      <c r="I104" s="33">
        <f>I128+I117+I131</f>
        <v>0</v>
      </c>
      <c r="J104" s="33"/>
      <c r="K104" s="94">
        <f>I104</f>
        <v>0</v>
      </c>
      <c r="L104" s="33">
        <f>0+K104</f>
        <v>0</v>
      </c>
      <c r="M104" s="34">
        <f aca="true" t="shared" si="11" ref="M104:N120">E104-K104</f>
        <v>0</v>
      </c>
      <c r="N104" s="35">
        <f t="shared" si="11"/>
        <v>0</v>
      </c>
      <c r="O104" s="64">
        <v>0</v>
      </c>
      <c r="P104" s="65">
        <v>0</v>
      </c>
    </row>
    <row r="105" spans="1:18" ht="15.75" thickBot="1">
      <c r="A105" s="60" t="s">
        <v>152</v>
      </c>
      <c r="B105" s="457" t="s">
        <v>55</v>
      </c>
      <c r="C105" s="458"/>
      <c r="D105" s="459"/>
      <c r="E105" s="61"/>
      <c r="F105" s="31"/>
      <c r="G105" s="74"/>
      <c r="H105" s="74"/>
      <c r="I105" s="33"/>
      <c r="J105" s="33"/>
      <c r="K105" s="94">
        <f>G105</f>
        <v>0</v>
      </c>
      <c r="L105" s="33">
        <f t="shared" si="10"/>
        <v>0</v>
      </c>
      <c r="M105" s="34">
        <f t="shared" si="11"/>
        <v>0</v>
      </c>
      <c r="N105" s="35">
        <f t="shared" si="11"/>
        <v>0</v>
      </c>
      <c r="O105" s="64">
        <v>0</v>
      </c>
      <c r="P105" s="65">
        <v>0</v>
      </c>
      <c r="R105" s="95"/>
    </row>
    <row r="106" spans="1:16" ht="21.75" customHeight="1" thickBot="1">
      <c r="A106" s="60" t="s">
        <v>153</v>
      </c>
      <c r="B106" s="460" t="s">
        <v>154</v>
      </c>
      <c r="C106" s="461"/>
      <c r="D106" s="462"/>
      <c r="E106" s="31">
        <v>20000</v>
      </c>
      <c r="F106" s="31">
        <f>20000+E106</f>
        <v>40000</v>
      </c>
      <c r="G106" s="74"/>
      <c r="H106" s="74"/>
      <c r="I106" s="74"/>
      <c r="J106" s="74"/>
      <c r="K106" s="94">
        <f aca="true" t="shared" si="12" ref="K106:K120">G106</f>
        <v>0</v>
      </c>
      <c r="L106" s="33">
        <f>0+K106</f>
        <v>0</v>
      </c>
      <c r="M106" s="34">
        <f t="shared" si="11"/>
        <v>20000</v>
      </c>
      <c r="N106" s="35">
        <f t="shared" si="11"/>
        <v>40000</v>
      </c>
      <c r="O106" s="64">
        <v>0</v>
      </c>
      <c r="P106" s="65">
        <v>0</v>
      </c>
    </row>
    <row r="107" spans="1:16" ht="36" customHeight="1" thickBot="1">
      <c r="A107" s="60" t="s">
        <v>155</v>
      </c>
      <c r="B107" s="420" t="s">
        <v>156</v>
      </c>
      <c r="C107" s="421"/>
      <c r="D107" s="422"/>
      <c r="E107" s="31"/>
      <c r="F107" s="31">
        <f>11200+E107</f>
        <v>11200</v>
      </c>
      <c r="G107" s="74"/>
      <c r="H107" s="74"/>
      <c r="I107" s="74"/>
      <c r="J107" s="74"/>
      <c r="K107" s="94">
        <f t="shared" si="12"/>
        <v>0</v>
      </c>
      <c r="L107" s="33">
        <f t="shared" si="10"/>
        <v>0</v>
      </c>
      <c r="M107" s="34">
        <f t="shared" si="11"/>
        <v>0</v>
      </c>
      <c r="N107" s="35">
        <f t="shared" si="11"/>
        <v>11200</v>
      </c>
      <c r="O107" s="64">
        <v>0</v>
      </c>
      <c r="P107" s="65">
        <v>0</v>
      </c>
    </row>
    <row r="108" spans="1:16" ht="33" customHeight="1" thickBot="1">
      <c r="A108" s="60" t="s">
        <v>157</v>
      </c>
      <c r="B108" s="466" t="s">
        <v>158</v>
      </c>
      <c r="C108" s="467"/>
      <c r="D108" s="468"/>
      <c r="E108" s="31"/>
      <c r="F108" s="31"/>
      <c r="G108" s="74"/>
      <c r="H108" s="74"/>
      <c r="I108" s="74"/>
      <c r="J108" s="74"/>
      <c r="K108" s="94">
        <f t="shared" si="12"/>
        <v>0</v>
      </c>
      <c r="L108" s="33">
        <f t="shared" si="10"/>
        <v>0</v>
      </c>
      <c r="M108" s="34">
        <f t="shared" si="11"/>
        <v>0</v>
      </c>
      <c r="N108" s="35">
        <f t="shared" si="11"/>
        <v>0</v>
      </c>
      <c r="O108" s="64">
        <v>0</v>
      </c>
      <c r="P108" s="65">
        <v>0</v>
      </c>
    </row>
    <row r="109" spans="1:16" ht="27" customHeight="1" thickBot="1">
      <c r="A109" s="60" t="s">
        <v>159</v>
      </c>
      <c r="B109" s="420" t="s">
        <v>160</v>
      </c>
      <c r="C109" s="421"/>
      <c r="D109" s="422"/>
      <c r="E109" s="31"/>
      <c r="F109" s="31"/>
      <c r="G109" s="74"/>
      <c r="H109" s="74"/>
      <c r="I109" s="74"/>
      <c r="J109" s="74"/>
      <c r="K109" s="94">
        <f t="shared" si="12"/>
        <v>0</v>
      </c>
      <c r="L109" s="33">
        <f t="shared" si="10"/>
        <v>0</v>
      </c>
      <c r="M109" s="34">
        <f t="shared" si="11"/>
        <v>0</v>
      </c>
      <c r="N109" s="35">
        <f t="shared" si="11"/>
        <v>0</v>
      </c>
      <c r="O109" s="64">
        <v>0</v>
      </c>
      <c r="P109" s="65">
        <v>0</v>
      </c>
    </row>
    <row r="110" spans="1:18" ht="36.75" customHeight="1" thickBot="1">
      <c r="A110" s="60" t="s">
        <v>161</v>
      </c>
      <c r="B110" s="420" t="s">
        <v>162</v>
      </c>
      <c r="C110" s="421"/>
      <c r="D110" s="422"/>
      <c r="E110" s="31"/>
      <c r="F110" s="31"/>
      <c r="G110" s="74"/>
      <c r="H110" s="74"/>
      <c r="I110" s="74"/>
      <c r="J110" s="74"/>
      <c r="K110" s="94">
        <f t="shared" si="12"/>
        <v>0</v>
      </c>
      <c r="L110" s="33">
        <f t="shared" si="10"/>
        <v>0</v>
      </c>
      <c r="M110" s="34">
        <f t="shared" si="11"/>
        <v>0</v>
      </c>
      <c r="N110" s="35">
        <f t="shared" si="11"/>
        <v>0</v>
      </c>
      <c r="O110" s="64">
        <v>0</v>
      </c>
      <c r="P110" s="65">
        <v>0</v>
      </c>
      <c r="R110" s="96"/>
    </row>
    <row r="111" spans="1:16" ht="32.25" customHeight="1" thickBot="1">
      <c r="A111" s="60" t="s">
        <v>163</v>
      </c>
      <c r="B111" s="466" t="s">
        <v>164</v>
      </c>
      <c r="C111" s="467"/>
      <c r="D111" s="468"/>
      <c r="E111" s="31"/>
      <c r="F111" s="31"/>
      <c r="G111" s="74"/>
      <c r="H111" s="74"/>
      <c r="I111" s="74"/>
      <c r="J111" s="74"/>
      <c r="K111" s="94">
        <f t="shared" si="12"/>
        <v>0</v>
      </c>
      <c r="L111" s="33">
        <f t="shared" si="10"/>
        <v>0</v>
      </c>
      <c r="M111" s="34">
        <f t="shared" si="11"/>
        <v>0</v>
      </c>
      <c r="N111" s="35">
        <f t="shared" si="11"/>
        <v>0</v>
      </c>
      <c r="O111" s="64">
        <v>0</v>
      </c>
      <c r="P111" s="65">
        <v>0</v>
      </c>
    </row>
    <row r="112" spans="1:16" ht="34.5" customHeight="1" thickBot="1">
      <c r="A112" s="60" t="s">
        <v>165</v>
      </c>
      <c r="B112" s="420" t="s">
        <v>166</v>
      </c>
      <c r="C112" s="421"/>
      <c r="D112" s="422"/>
      <c r="E112" s="31"/>
      <c r="F112" s="31"/>
      <c r="G112" s="74"/>
      <c r="H112" s="74"/>
      <c r="I112" s="74"/>
      <c r="J112" s="74"/>
      <c r="K112" s="94">
        <f t="shared" si="12"/>
        <v>0</v>
      </c>
      <c r="L112" s="33">
        <f t="shared" si="10"/>
        <v>0</v>
      </c>
      <c r="M112" s="34">
        <f t="shared" si="11"/>
        <v>0</v>
      </c>
      <c r="N112" s="35">
        <f t="shared" si="11"/>
        <v>0</v>
      </c>
      <c r="O112" s="64">
        <v>0</v>
      </c>
      <c r="P112" s="65">
        <v>0</v>
      </c>
    </row>
    <row r="113" spans="1:16" ht="24.75" customHeight="1" thickBot="1">
      <c r="A113" s="60" t="s">
        <v>167</v>
      </c>
      <c r="B113" s="420" t="s">
        <v>168</v>
      </c>
      <c r="C113" s="421"/>
      <c r="D113" s="422"/>
      <c r="E113" s="31"/>
      <c r="F113" s="31"/>
      <c r="G113" s="74">
        <v>15415</v>
      </c>
      <c r="H113" s="74"/>
      <c r="I113" s="74"/>
      <c r="J113" s="74"/>
      <c r="K113" s="94">
        <f t="shared" si="12"/>
        <v>15415</v>
      </c>
      <c r="L113" s="33">
        <f>0+K113</f>
        <v>15415</v>
      </c>
      <c r="M113" s="34">
        <f t="shared" si="11"/>
        <v>-15415</v>
      </c>
      <c r="N113" s="35">
        <f t="shared" si="11"/>
        <v>-15415</v>
      </c>
      <c r="O113" s="64">
        <v>0</v>
      </c>
      <c r="P113" s="65">
        <v>0</v>
      </c>
    </row>
    <row r="114" spans="1:16" ht="45.75" customHeight="1" thickBot="1">
      <c r="A114" s="60" t="s">
        <v>169</v>
      </c>
      <c r="B114" s="420" t="s">
        <v>170</v>
      </c>
      <c r="C114" s="421"/>
      <c r="D114" s="422"/>
      <c r="E114" s="31">
        <v>1000</v>
      </c>
      <c r="F114" s="31">
        <f>2000+E114</f>
        <v>3000</v>
      </c>
      <c r="G114" s="74">
        <v>4429.01</v>
      </c>
      <c r="H114" s="74"/>
      <c r="I114" s="74"/>
      <c r="J114" s="74"/>
      <c r="K114" s="94">
        <f t="shared" si="12"/>
        <v>4429.01</v>
      </c>
      <c r="L114" s="33">
        <f>1090.48+K114</f>
        <v>5519.49</v>
      </c>
      <c r="M114" s="34">
        <f>E114-K114</f>
        <v>-3429.01</v>
      </c>
      <c r="N114" s="35">
        <f t="shared" si="11"/>
        <v>-2519.49</v>
      </c>
      <c r="O114" s="64">
        <v>0</v>
      </c>
      <c r="P114" s="65">
        <v>0</v>
      </c>
    </row>
    <row r="115" spans="1:16" ht="33" customHeight="1" thickBot="1">
      <c r="A115" s="60" t="s">
        <v>171</v>
      </c>
      <c r="B115" s="420" t="s">
        <v>172</v>
      </c>
      <c r="C115" s="421"/>
      <c r="D115" s="422"/>
      <c r="E115" s="31"/>
      <c r="F115" s="31">
        <f>4000+E115</f>
        <v>4000</v>
      </c>
      <c r="G115" s="74"/>
      <c r="H115" s="74"/>
      <c r="I115" s="74"/>
      <c r="J115" s="74"/>
      <c r="K115" s="94">
        <f t="shared" si="12"/>
        <v>0</v>
      </c>
      <c r="L115" s="33">
        <f t="shared" si="10"/>
        <v>0</v>
      </c>
      <c r="M115" s="34">
        <f t="shared" si="11"/>
        <v>0</v>
      </c>
      <c r="N115" s="35">
        <f t="shared" si="11"/>
        <v>4000</v>
      </c>
      <c r="O115" s="64">
        <v>0</v>
      </c>
      <c r="P115" s="65">
        <v>0</v>
      </c>
    </row>
    <row r="116" spans="1:16" ht="30" customHeight="1" thickBot="1">
      <c r="A116" s="60" t="s">
        <v>173</v>
      </c>
      <c r="B116" s="420" t="s">
        <v>174</v>
      </c>
      <c r="C116" s="421"/>
      <c r="D116" s="422"/>
      <c r="E116" s="31"/>
      <c r="F116" s="31"/>
      <c r="G116" s="74"/>
      <c r="H116" s="74"/>
      <c r="I116" s="74"/>
      <c r="J116" s="74"/>
      <c r="K116" s="94">
        <f t="shared" si="12"/>
        <v>0</v>
      </c>
      <c r="L116" s="33">
        <f t="shared" si="10"/>
        <v>0</v>
      </c>
      <c r="M116" s="34">
        <f t="shared" si="11"/>
        <v>0</v>
      </c>
      <c r="N116" s="35">
        <f t="shared" si="11"/>
        <v>0</v>
      </c>
      <c r="O116" s="64">
        <v>0</v>
      </c>
      <c r="P116" s="65">
        <v>0</v>
      </c>
    </row>
    <row r="117" spans="1:16" ht="39" customHeight="1" thickBot="1">
      <c r="A117" s="60"/>
      <c r="B117" s="420" t="s">
        <v>175</v>
      </c>
      <c r="C117" s="421"/>
      <c r="D117" s="422"/>
      <c r="E117" s="31"/>
      <c r="F117" s="31"/>
      <c r="G117" s="74"/>
      <c r="H117" s="74"/>
      <c r="I117" s="74"/>
      <c r="J117" s="74"/>
      <c r="K117" s="94">
        <f>I117</f>
        <v>0</v>
      </c>
      <c r="L117" s="33">
        <f>0+K117</f>
        <v>0</v>
      </c>
      <c r="M117" s="34">
        <f t="shared" si="11"/>
        <v>0</v>
      </c>
      <c r="N117" s="35">
        <f t="shared" si="11"/>
        <v>0</v>
      </c>
      <c r="O117" s="64">
        <v>0</v>
      </c>
      <c r="P117" s="65">
        <v>0</v>
      </c>
    </row>
    <row r="118" spans="1:16" ht="30.75" customHeight="1" thickBot="1">
      <c r="A118" s="60" t="s">
        <v>176</v>
      </c>
      <c r="B118" s="420" t="s">
        <v>177</v>
      </c>
      <c r="C118" s="421"/>
      <c r="D118" s="422"/>
      <c r="E118" s="31"/>
      <c r="F118" s="31"/>
      <c r="G118" s="74">
        <v>276.86</v>
      </c>
      <c r="H118" s="74"/>
      <c r="I118" s="74"/>
      <c r="J118" s="74"/>
      <c r="K118" s="94">
        <f>G118</f>
        <v>276.86</v>
      </c>
      <c r="L118" s="33">
        <f>1079.82+K118</f>
        <v>1356.6799999999998</v>
      </c>
      <c r="M118" s="34">
        <f t="shared" si="11"/>
        <v>-276.86</v>
      </c>
      <c r="N118" s="35">
        <f t="shared" si="11"/>
        <v>-1356.6799999999998</v>
      </c>
      <c r="O118" s="64">
        <v>0</v>
      </c>
      <c r="P118" s="65">
        <v>0</v>
      </c>
    </row>
    <row r="119" spans="1:18" ht="30.75" customHeight="1" thickBot="1">
      <c r="A119" s="60" t="s">
        <v>178</v>
      </c>
      <c r="B119" s="463" t="s">
        <v>179</v>
      </c>
      <c r="C119" s="464"/>
      <c r="D119" s="465"/>
      <c r="E119" s="31"/>
      <c r="F119" s="31"/>
      <c r="G119" s="74"/>
      <c r="H119" s="74"/>
      <c r="I119" s="74"/>
      <c r="J119" s="74"/>
      <c r="K119" s="94">
        <f>G119</f>
        <v>0</v>
      </c>
      <c r="L119" s="33">
        <f>0+K119</f>
        <v>0</v>
      </c>
      <c r="M119" s="34">
        <f t="shared" si="11"/>
        <v>0</v>
      </c>
      <c r="N119" s="35">
        <f t="shared" si="11"/>
        <v>0</v>
      </c>
      <c r="O119" s="64">
        <v>0</v>
      </c>
      <c r="P119" s="65">
        <v>0</v>
      </c>
      <c r="R119" s="96"/>
    </row>
    <row r="120" spans="1:16" ht="33" customHeight="1" thickBot="1">
      <c r="A120" s="97" t="s">
        <v>180</v>
      </c>
      <c r="B120" s="420" t="s">
        <v>181</v>
      </c>
      <c r="C120" s="421"/>
      <c r="D120" s="422"/>
      <c r="E120" s="31">
        <v>1200</v>
      </c>
      <c r="F120" s="31">
        <f>1900+E120</f>
        <v>3100</v>
      </c>
      <c r="G120" s="74">
        <v>4950</v>
      </c>
      <c r="H120" s="74"/>
      <c r="I120" s="74"/>
      <c r="J120" s="74"/>
      <c r="K120" s="94">
        <f t="shared" si="12"/>
        <v>4950</v>
      </c>
      <c r="L120" s="33">
        <f>1200+K120</f>
        <v>6150</v>
      </c>
      <c r="M120" s="34">
        <f t="shared" si="11"/>
        <v>-3750</v>
      </c>
      <c r="N120" s="35">
        <f t="shared" si="11"/>
        <v>-3050</v>
      </c>
      <c r="O120" s="64">
        <v>0</v>
      </c>
      <c r="P120" s="65">
        <v>0</v>
      </c>
    </row>
    <row r="121" spans="1:16" ht="15">
      <c r="A121" s="98"/>
      <c r="B121" s="396" t="s">
        <v>43</v>
      </c>
      <c r="C121" s="396"/>
      <c r="D121" s="396"/>
      <c r="E121" s="396"/>
      <c r="F121" s="396"/>
      <c r="G121" s="396"/>
      <c r="H121" s="396"/>
      <c r="I121" s="396"/>
      <c r="J121" s="396"/>
      <c r="K121" s="396"/>
      <c r="L121" s="396"/>
      <c r="M121" s="396"/>
      <c r="N121" s="396"/>
      <c r="O121" s="396"/>
      <c r="P121" s="397"/>
    </row>
    <row r="122" spans="1:16" ht="4.5" customHeight="1" thickBot="1">
      <c r="A122" s="99"/>
      <c r="B122" s="399"/>
      <c r="C122" s="399"/>
      <c r="D122" s="399"/>
      <c r="E122" s="399"/>
      <c r="F122" s="399"/>
      <c r="G122" s="399"/>
      <c r="H122" s="399"/>
      <c r="I122" s="399"/>
      <c r="J122" s="399"/>
      <c r="K122" s="399"/>
      <c r="L122" s="399"/>
      <c r="M122" s="399"/>
      <c r="N122" s="399"/>
      <c r="O122" s="399"/>
      <c r="P122" s="400"/>
    </row>
    <row r="123" spans="1:16" ht="15.75" thickBot="1">
      <c r="A123" s="100"/>
      <c r="B123" s="471" t="s">
        <v>14</v>
      </c>
      <c r="C123" s="472"/>
      <c r="D123" s="473"/>
      <c r="E123" s="477" t="s">
        <v>24</v>
      </c>
      <c r="F123" s="479" t="s">
        <v>25</v>
      </c>
      <c r="G123" s="481" t="s">
        <v>44</v>
      </c>
      <c r="H123" s="482"/>
      <c r="I123" s="482"/>
      <c r="J123" s="482"/>
      <c r="K123" s="483"/>
      <c r="L123" s="469" t="s">
        <v>16</v>
      </c>
      <c r="M123" s="469" t="s">
        <v>17</v>
      </c>
      <c r="N123" s="469" t="s">
        <v>18</v>
      </c>
      <c r="O123" s="469" t="s">
        <v>19</v>
      </c>
      <c r="P123" s="469" t="s">
        <v>20</v>
      </c>
    </row>
    <row r="124" spans="1:16" ht="63" customHeight="1" thickBot="1">
      <c r="A124" s="168"/>
      <c r="B124" s="474"/>
      <c r="C124" s="475"/>
      <c r="D124" s="476"/>
      <c r="E124" s="478"/>
      <c r="F124" s="480"/>
      <c r="G124" s="102" t="s">
        <v>45</v>
      </c>
      <c r="H124" s="102" t="s">
        <v>46</v>
      </c>
      <c r="I124" s="102" t="s">
        <v>47</v>
      </c>
      <c r="J124" s="103" t="s">
        <v>48</v>
      </c>
      <c r="K124" s="104" t="s">
        <v>27</v>
      </c>
      <c r="L124" s="470"/>
      <c r="M124" s="470"/>
      <c r="N124" s="470"/>
      <c r="O124" s="470"/>
      <c r="P124" s="470"/>
    </row>
    <row r="125" spans="1:16" ht="15.75" thickBot="1">
      <c r="A125" s="105"/>
      <c r="B125" s="342">
        <v>1</v>
      </c>
      <c r="C125" s="343"/>
      <c r="D125" s="344"/>
      <c r="E125" s="17" t="s">
        <v>22</v>
      </c>
      <c r="F125" s="161">
        <v>3</v>
      </c>
      <c r="G125" s="161">
        <v>4</v>
      </c>
      <c r="H125" s="161">
        <v>5</v>
      </c>
      <c r="I125" s="7">
        <v>6</v>
      </c>
      <c r="J125" s="7">
        <v>7</v>
      </c>
      <c r="K125" s="48">
        <v>8</v>
      </c>
      <c r="L125" s="165">
        <v>9</v>
      </c>
      <c r="M125" s="7">
        <v>10</v>
      </c>
      <c r="N125" s="165">
        <v>11</v>
      </c>
      <c r="O125" s="7">
        <v>12</v>
      </c>
      <c r="P125" s="165">
        <v>13</v>
      </c>
    </row>
    <row r="126" spans="1:16" ht="21.75" customHeight="1" thickBot="1">
      <c r="A126" s="106" t="s">
        <v>182</v>
      </c>
      <c r="B126" s="411" t="s">
        <v>183</v>
      </c>
      <c r="C126" s="412"/>
      <c r="D126" s="413"/>
      <c r="E126" s="31"/>
      <c r="F126" s="31"/>
      <c r="G126" s="74"/>
      <c r="H126" s="74"/>
      <c r="I126" s="74"/>
      <c r="J126" s="74"/>
      <c r="K126" s="94">
        <f aca="true" t="shared" si="13" ref="K126:K140">G126</f>
        <v>0</v>
      </c>
      <c r="L126" s="33">
        <f>0+K126</f>
        <v>0</v>
      </c>
      <c r="M126" s="34">
        <f aca="true" t="shared" si="14" ref="M126:N141">E126-K126</f>
        <v>0</v>
      </c>
      <c r="N126" s="35">
        <f t="shared" si="14"/>
        <v>0</v>
      </c>
      <c r="O126" s="64">
        <v>0</v>
      </c>
      <c r="P126" s="65">
        <v>0</v>
      </c>
    </row>
    <row r="127" spans="1:16" ht="41.25" thickBot="1">
      <c r="A127" s="107" t="s">
        <v>184</v>
      </c>
      <c r="B127" s="426" t="s">
        <v>185</v>
      </c>
      <c r="C127" s="427"/>
      <c r="D127" s="428"/>
      <c r="E127" s="31"/>
      <c r="F127" s="31"/>
      <c r="G127" s="74"/>
      <c r="H127" s="74"/>
      <c r="I127" s="74"/>
      <c r="J127" s="74"/>
      <c r="K127" s="94">
        <f t="shared" si="13"/>
        <v>0</v>
      </c>
      <c r="L127" s="33">
        <f>0+K127</f>
        <v>0</v>
      </c>
      <c r="M127" s="34">
        <f t="shared" si="14"/>
        <v>0</v>
      </c>
      <c r="N127" s="35">
        <f t="shared" si="14"/>
        <v>0</v>
      </c>
      <c r="O127" s="64">
        <v>0</v>
      </c>
      <c r="P127" s="65">
        <v>0</v>
      </c>
    </row>
    <row r="128" spans="1:16" ht="45.75" thickBot="1">
      <c r="A128" s="108" t="s">
        <v>186</v>
      </c>
      <c r="B128" s="426" t="s">
        <v>187</v>
      </c>
      <c r="C128" s="427"/>
      <c r="D128" s="428"/>
      <c r="E128" s="31"/>
      <c r="F128" s="31">
        <f>0+E128</f>
        <v>0</v>
      </c>
      <c r="G128" s="74">
        <v>370346.32</v>
      </c>
      <c r="H128" s="74"/>
      <c r="I128" s="74"/>
      <c r="J128" s="74"/>
      <c r="K128" s="94">
        <f>I128+G128</f>
        <v>370346.32</v>
      </c>
      <c r="L128" s="33">
        <f>1179+K128</f>
        <v>371525.32</v>
      </c>
      <c r="M128" s="34">
        <f t="shared" si="14"/>
        <v>-370346.32</v>
      </c>
      <c r="N128" s="35">
        <f t="shared" si="14"/>
        <v>-371525.32</v>
      </c>
      <c r="O128" s="64">
        <v>0</v>
      </c>
      <c r="P128" s="65">
        <v>0</v>
      </c>
    </row>
    <row r="129" spans="1:16" ht="44.25" customHeight="1" thickBot="1">
      <c r="A129" s="108" t="s">
        <v>188</v>
      </c>
      <c r="B129" s="426" t="s">
        <v>189</v>
      </c>
      <c r="C129" s="427"/>
      <c r="D129" s="428"/>
      <c r="E129" s="31"/>
      <c r="F129" s="31">
        <f>0+E129</f>
        <v>0</v>
      </c>
      <c r="G129" s="74"/>
      <c r="H129" s="74"/>
      <c r="I129" s="74"/>
      <c r="J129" s="74"/>
      <c r="K129" s="94">
        <f>H129</f>
        <v>0</v>
      </c>
      <c r="L129" s="33">
        <f>0+K129</f>
        <v>0</v>
      </c>
      <c r="M129" s="34">
        <f t="shared" si="14"/>
        <v>0</v>
      </c>
      <c r="N129" s="35">
        <f t="shared" si="14"/>
        <v>0</v>
      </c>
      <c r="O129" s="64">
        <v>0</v>
      </c>
      <c r="P129" s="65">
        <v>0</v>
      </c>
    </row>
    <row r="130" spans="1:16" ht="35.25" customHeight="1" thickBot="1">
      <c r="A130" s="109" t="s">
        <v>190</v>
      </c>
      <c r="B130" s="426" t="s">
        <v>191</v>
      </c>
      <c r="C130" s="427"/>
      <c r="D130" s="428"/>
      <c r="E130" s="31"/>
      <c r="F130" s="31"/>
      <c r="G130" s="74"/>
      <c r="H130" s="74"/>
      <c r="I130" s="74"/>
      <c r="J130" s="74"/>
      <c r="K130" s="94">
        <f>G130</f>
        <v>0</v>
      </c>
      <c r="L130" s="33">
        <f>0+K130</f>
        <v>0</v>
      </c>
      <c r="M130" s="34">
        <f t="shared" si="14"/>
        <v>0</v>
      </c>
      <c r="N130" s="35">
        <f t="shared" si="14"/>
        <v>0</v>
      </c>
      <c r="O130" s="64">
        <v>0</v>
      </c>
      <c r="P130" s="65">
        <v>0</v>
      </c>
    </row>
    <row r="131" spans="1:16" ht="41.25" customHeight="1" thickBot="1">
      <c r="A131" s="109" t="s">
        <v>192</v>
      </c>
      <c r="B131" s="494" t="s">
        <v>193</v>
      </c>
      <c r="C131" s="495"/>
      <c r="D131" s="496"/>
      <c r="E131" s="31"/>
      <c r="F131" s="31">
        <f>6000+E131</f>
        <v>6000</v>
      </c>
      <c r="G131" s="74"/>
      <c r="H131" s="74"/>
      <c r="I131" s="74"/>
      <c r="J131" s="74"/>
      <c r="K131" s="94">
        <f>G131+I131</f>
        <v>0</v>
      </c>
      <c r="L131" s="33">
        <f>0+K131</f>
        <v>0</v>
      </c>
      <c r="M131" s="34">
        <f t="shared" si="14"/>
        <v>0</v>
      </c>
      <c r="N131" s="35">
        <f t="shared" si="14"/>
        <v>6000</v>
      </c>
      <c r="O131" s="64">
        <v>0</v>
      </c>
      <c r="P131" s="65">
        <v>0</v>
      </c>
    </row>
    <row r="132" spans="1:19" ht="36.75" customHeight="1" thickBot="1">
      <c r="A132" s="110">
        <v>15</v>
      </c>
      <c r="B132" s="418" t="s">
        <v>194</v>
      </c>
      <c r="C132" s="418"/>
      <c r="D132" s="419"/>
      <c r="E132" s="73">
        <f>E133+E134</f>
        <v>15000</v>
      </c>
      <c r="F132" s="73">
        <f>F133</f>
        <v>30000</v>
      </c>
      <c r="G132" s="75">
        <f>G133+G134</f>
        <v>3441</v>
      </c>
      <c r="H132" s="74"/>
      <c r="I132" s="74"/>
      <c r="J132" s="74"/>
      <c r="K132" s="93">
        <f t="shared" si="13"/>
        <v>3441</v>
      </c>
      <c r="L132" s="55">
        <f>L133+L134</f>
        <v>13440.82</v>
      </c>
      <c r="M132" s="56">
        <f t="shared" si="14"/>
        <v>11559</v>
      </c>
      <c r="N132" s="70">
        <f t="shared" si="14"/>
        <v>16559.18</v>
      </c>
      <c r="O132" s="58">
        <v>0</v>
      </c>
      <c r="P132" s="59">
        <v>0</v>
      </c>
      <c r="Q132" s="1"/>
      <c r="R132" s="1"/>
      <c r="S132" s="1"/>
    </row>
    <row r="133" spans="1:19" ht="29.25" customHeight="1" thickBot="1">
      <c r="A133" s="60" t="s">
        <v>195</v>
      </c>
      <c r="B133" s="405" t="s">
        <v>53</v>
      </c>
      <c r="C133" s="406"/>
      <c r="D133" s="407"/>
      <c r="E133" s="155">
        <v>15000</v>
      </c>
      <c r="F133" s="31">
        <f>15000+E133</f>
        <v>30000</v>
      </c>
      <c r="G133" s="74">
        <v>3441</v>
      </c>
      <c r="H133" s="74"/>
      <c r="I133" s="74"/>
      <c r="J133" s="74"/>
      <c r="K133" s="94">
        <f t="shared" si="13"/>
        <v>3441</v>
      </c>
      <c r="L133" s="33">
        <f>9999.82+K133</f>
        <v>13440.82</v>
      </c>
      <c r="M133" s="34">
        <f t="shared" si="14"/>
        <v>11559</v>
      </c>
      <c r="N133" s="35">
        <f t="shared" si="14"/>
        <v>16559.18</v>
      </c>
      <c r="O133" s="64">
        <v>0</v>
      </c>
      <c r="P133" s="65">
        <v>0</v>
      </c>
      <c r="Q133" s="1"/>
      <c r="R133" s="1"/>
      <c r="S133" s="1"/>
    </row>
    <row r="134" spans="1:19" ht="32.25" customHeight="1" thickBot="1">
      <c r="A134" s="60" t="s">
        <v>196</v>
      </c>
      <c r="B134" s="405" t="s">
        <v>104</v>
      </c>
      <c r="C134" s="406"/>
      <c r="D134" s="407"/>
      <c r="E134" s="61"/>
      <c r="F134" s="31"/>
      <c r="G134" s="74"/>
      <c r="H134" s="74"/>
      <c r="I134" s="74"/>
      <c r="J134" s="74"/>
      <c r="K134" s="94">
        <f t="shared" si="13"/>
        <v>0</v>
      </c>
      <c r="L134" s="33">
        <f>0+K134</f>
        <v>0</v>
      </c>
      <c r="M134" s="34">
        <f t="shared" si="14"/>
        <v>0</v>
      </c>
      <c r="N134" s="35">
        <f t="shared" si="14"/>
        <v>0</v>
      </c>
      <c r="O134" s="64">
        <v>0</v>
      </c>
      <c r="P134" s="65">
        <v>0</v>
      </c>
      <c r="Q134" s="1"/>
      <c r="R134" s="1"/>
      <c r="S134" s="1"/>
    </row>
    <row r="135" spans="1:19" ht="31.5" customHeight="1" thickBot="1">
      <c r="A135" s="111">
        <v>16</v>
      </c>
      <c r="B135" s="418" t="s">
        <v>197</v>
      </c>
      <c r="C135" s="418"/>
      <c r="D135" s="419"/>
      <c r="E135" s="31">
        <v>0</v>
      </c>
      <c r="F135" s="73">
        <f>F136</f>
        <v>0</v>
      </c>
      <c r="G135" s="75">
        <f>G136+G137</f>
        <v>0</v>
      </c>
      <c r="H135" s="74"/>
      <c r="I135" s="74"/>
      <c r="J135" s="74"/>
      <c r="K135" s="93">
        <f t="shared" si="13"/>
        <v>0</v>
      </c>
      <c r="L135" s="55">
        <f>0+K135</f>
        <v>0</v>
      </c>
      <c r="M135" s="56">
        <f t="shared" si="14"/>
        <v>0</v>
      </c>
      <c r="N135" s="70">
        <f t="shared" si="14"/>
        <v>0</v>
      </c>
      <c r="O135" s="58">
        <v>0</v>
      </c>
      <c r="P135" s="59">
        <v>0</v>
      </c>
      <c r="Q135" s="1"/>
      <c r="R135" s="1"/>
      <c r="S135" s="1"/>
    </row>
    <row r="136" spans="1:19" ht="34.5" customHeight="1" thickBot="1">
      <c r="A136" s="60" t="s">
        <v>198</v>
      </c>
      <c r="B136" s="405" t="s">
        <v>53</v>
      </c>
      <c r="C136" s="406"/>
      <c r="D136" s="407"/>
      <c r="E136" s="61"/>
      <c r="F136" s="31">
        <v>0</v>
      </c>
      <c r="G136" s="74"/>
      <c r="H136" s="74"/>
      <c r="I136" s="74"/>
      <c r="J136" s="74"/>
      <c r="K136" s="94">
        <f t="shared" si="13"/>
        <v>0</v>
      </c>
      <c r="L136" s="33">
        <f>0+K136</f>
        <v>0</v>
      </c>
      <c r="M136" s="34">
        <f t="shared" si="14"/>
        <v>0</v>
      </c>
      <c r="N136" s="35">
        <f t="shared" si="14"/>
        <v>0</v>
      </c>
      <c r="O136" s="64">
        <v>0</v>
      </c>
      <c r="P136" s="65">
        <v>0</v>
      </c>
      <c r="Q136" s="1"/>
      <c r="R136" s="1"/>
      <c r="S136" s="1"/>
    </row>
    <row r="137" spans="1:19" ht="41.25" customHeight="1" thickBot="1">
      <c r="A137" s="60" t="s">
        <v>199</v>
      </c>
      <c r="B137" s="405" t="s">
        <v>104</v>
      </c>
      <c r="C137" s="406"/>
      <c r="D137" s="407"/>
      <c r="E137" s="61"/>
      <c r="F137" s="31"/>
      <c r="G137" s="74"/>
      <c r="H137" s="74"/>
      <c r="I137" s="74"/>
      <c r="J137" s="74"/>
      <c r="K137" s="94">
        <f t="shared" si="13"/>
        <v>0</v>
      </c>
      <c r="L137" s="33">
        <f>0+K137</f>
        <v>0</v>
      </c>
      <c r="M137" s="34">
        <f t="shared" si="14"/>
        <v>0</v>
      </c>
      <c r="N137" s="35">
        <f t="shared" si="14"/>
        <v>0</v>
      </c>
      <c r="O137" s="64">
        <v>0</v>
      </c>
      <c r="P137" s="65">
        <v>0</v>
      </c>
      <c r="Q137" s="1"/>
      <c r="R137" s="1"/>
      <c r="S137" s="1"/>
    </row>
    <row r="138" spans="1:19" ht="47.25" customHeight="1" thickBot="1">
      <c r="A138" s="110">
        <v>17</v>
      </c>
      <c r="B138" s="418" t="s">
        <v>200</v>
      </c>
      <c r="C138" s="418"/>
      <c r="D138" s="419"/>
      <c r="E138" s="73">
        <v>0</v>
      </c>
      <c r="F138" s="73">
        <f>F139</f>
        <v>5504</v>
      </c>
      <c r="G138" s="75">
        <f>G139+G140</f>
        <v>18000</v>
      </c>
      <c r="H138" s="75"/>
      <c r="I138" s="75"/>
      <c r="J138" s="75"/>
      <c r="K138" s="93">
        <f t="shared" si="13"/>
        <v>18000</v>
      </c>
      <c r="L138" s="55">
        <f>L139</f>
        <v>23504</v>
      </c>
      <c r="M138" s="56">
        <f t="shared" si="14"/>
        <v>-18000</v>
      </c>
      <c r="N138" s="70">
        <f t="shared" si="14"/>
        <v>-18000</v>
      </c>
      <c r="O138" s="58">
        <v>0</v>
      </c>
      <c r="P138" s="59">
        <v>0</v>
      </c>
      <c r="Q138" s="1"/>
      <c r="R138" s="1"/>
      <c r="S138" s="1"/>
    </row>
    <row r="139" spans="1:19" ht="27" customHeight="1" thickBot="1">
      <c r="A139" s="60" t="s">
        <v>201</v>
      </c>
      <c r="B139" s="405" t="s">
        <v>53</v>
      </c>
      <c r="C139" s="406"/>
      <c r="D139" s="407"/>
      <c r="E139" s="61"/>
      <c r="F139" s="31">
        <f>5504+E139</f>
        <v>5504</v>
      </c>
      <c r="G139" s="74">
        <v>18000</v>
      </c>
      <c r="H139" s="74"/>
      <c r="I139" s="74"/>
      <c r="J139" s="74"/>
      <c r="K139" s="94">
        <f t="shared" si="13"/>
        <v>18000</v>
      </c>
      <c r="L139" s="33">
        <f>5504+K139</f>
        <v>23504</v>
      </c>
      <c r="M139" s="34">
        <f t="shared" si="14"/>
        <v>-18000</v>
      </c>
      <c r="N139" s="35">
        <f t="shared" si="14"/>
        <v>-18000</v>
      </c>
      <c r="O139" s="64">
        <v>0</v>
      </c>
      <c r="P139" s="65">
        <v>0</v>
      </c>
      <c r="Q139" s="1"/>
      <c r="R139" s="1"/>
      <c r="S139" s="1"/>
    </row>
    <row r="140" spans="1:19" ht="29.25" customHeight="1" thickBot="1">
      <c r="A140" s="60" t="s">
        <v>202</v>
      </c>
      <c r="B140" s="405" t="s">
        <v>104</v>
      </c>
      <c r="C140" s="406"/>
      <c r="D140" s="407"/>
      <c r="E140" s="61"/>
      <c r="F140" s="31"/>
      <c r="G140" s="74"/>
      <c r="H140" s="74"/>
      <c r="I140" s="74"/>
      <c r="J140" s="74"/>
      <c r="K140" s="94">
        <f t="shared" si="13"/>
        <v>0</v>
      </c>
      <c r="L140" s="33">
        <f>0+K140</f>
        <v>0</v>
      </c>
      <c r="M140" s="34">
        <f t="shared" si="14"/>
        <v>0</v>
      </c>
      <c r="N140" s="35">
        <f t="shared" si="14"/>
        <v>0</v>
      </c>
      <c r="O140" s="64">
        <v>0</v>
      </c>
      <c r="P140" s="65">
        <v>0</v>
      </c>
      <c r="Q140" s="1"/>
      <c r="R140" s="1"/>
      <c r="S140" s="1"/>
    </row>
    <row r="141" spans="1:19" ht="22.5" customHeight="1" thickBot="1">
      <c r="A141" s="110">
        <v>18</v>
      </c>
      <c r="B141" s="424" t="s">
        <v>42</v>
      </c>
      <c r="C141" s="424"/>
      <c r="D141" s="425"/>
      <c r="E141" s="31">
        <v>0</v>
      </c>
      <c r="F141" s="31"/>
      <c r="G141" s="74"/>
      <c r="H141" s="74"/>
      <c r="I141" s="74"/>
      <c r="J141" s="75">
        <v>152282.23</v>
      </c>
      <c r="K141" s="93">
        <f>J141</f>
        <v>152282.23</v>
      </c>
      <c r="L141" s="55">
        <f>267751.67+K141</f>
        <v>420033.9</v>
      </c>
      <c r="M141" s="56">
        <f t="shared" si="14"/>
        <v>-152282.23</v>
      </c>
      <c r="N141" s="70">
        <f t="shared" si="14"/>
        <v>-420033.9</v>
      </c>
      <c r="O141" s="58">
        <v>0</v>
      </c>
      <c r="P141" s="59">
        <v>0</v>
      </c>
      <c r="Q141" s="1"/>
      <c r="R141" s="1"/>
      <c r="S141" s="1"/>
    </row>
    <row r="142" spans="1:19" ht="59.25" customHeight="1" thickBot="1">
      <c r="A142" s="112"/>
      <c r="B142" s="488" t="s">
        <v>203</v>
      </c>
      <c r="C142" s="488"/>
      <c r="D142" s="488"/>
      <c r="E142" s="488"/>
      <c r="F142" s="113"/>
      <c r="G142" s="113" t="s">
        <v>4</v>
      </c>
      <c r="H142" s="163" t="s">
        <v>5</v>
      </c>
      <c r="I142" s="338" t="s">
        <v>6</v>
      </c>
      <c r="J142" s="339"/>
      <c r="K142" s="8" t="s">
        <v>11</v>
      </c>
      <c r="L142" s="7" t="s">
        <v>8</v>
      </c>
      <c r="M142" s="7" t="s">
        <v>9</v>
      </c>
      <c r="N142" s="115" t="s">
        <v>10</v>
      </c>
      <c r="O142" s="116"/>
      <c r="P142" s="164"/>
      <c r="Q142" s="1"/>
      <c r="R142" s="1"/>
      <c r="S142" s="1"/>
    </row>
    <row r="143" spans="1:19" ht="23.25" customHeight="1" thickBot="1">
      <c r="A143" s="118"/>
      <c r="B143" s="488" t="s">
        <v>12</v>
      </c>
      <c r="C143" s="488"/>
      <c r="D143" s="488"/>
      <c r="E143" s="489"/>
      <c r="F143" s="119"/>
      <c r="G143" s="119">
        <v>0</v>
      </c>
      <c r="H143" s="4">
        <v>0</v>
      </c>
      <c r="I143" s="330">
        <v>0</v>
      </c>
      <c r="J143" s="331"/>
      <c r="K143" s="120"/>
      <c r="L143" s="4">
        <v>0</v>
      </c>
      <c r="M143" s="159">
        <v>0</v>
      </c>
      <c r="N143" s="159">
        <v>0</v>
      </c>
      <c r="O143" s="4"/>
      <c r="P143" s="4">
        <v>0</v>
      </c>
      <c r="Q143" s="1"/>
      <c r="R143" s="1"/>
      <c r="S143" s="1"/>
    </row>
    <row r="144" spans="1:19" ht="27" customHeight="1" thickBot="1">
      <c r="A144" s="112"/>
      <c r="B144" s="488" t="s">
        <v>13</v>
      </c>
      <c r="C144" s="488"/>
      <c r="D144" s="488"/>
      <c r="E144" s="489"/>
      <c r="F144" s="4"/>
      <c r="G144" s="4">
        <f>F10+G17-G32-G36-G40-G45-G55-G65-G68-G72-G75-G79-G89-G102-G133-G136-G139-G81</f>
        <v>109564.87000000005</v>
      </c>
      <c r="H144" s="4">
        <f>G18+H10-H29</f>
        <v>417293.8</v>
      </c>
      <c r="I144" s="330">
        <f>I10+G19-I104-I66-I97-I76</f>
        <v>0</v>
      </c>
      <c r="J144" s="331"/>
      <c r="K144" s="120">
        <f>O10+G22-J54</f>
        <v>58819.07</v>
      </c>
      <c r="L144" s="4">
        <f>L10+G23-J141</f>
        <v>152959.60999999996</v>
      </c>
      <c r="M144" s="159">
        <v>0</v>
      </c>
      <c r="N144" s="4">
        <v>0</v>
      </c>
      <c r="O144" s="121"/>
      <c r="P144" s="4">
        <f>SUM(G144:O144)</f>
        <v>738637.35</v>
      </c>
      <c r="Q144" s="1"/>
      <c r="R144" s="80"/>
      <c r="S144" s="37"/>
    </row>
    <row r="145" spans="1:19" ht="24.75" customHeight="1" thickBot="1">
      <c r="A145" s="122"/>
      <c r="B145" s="323" t="s">
        <v>219</v>
      </c>
      <c r="C145" s="323"/>
      <c r="D145" s="323"/>
      <c r="E145" s="324"/>
      <c r="F145" s="325"/>
      <c r="G145" s="325"/>
      <c r="H145" s="325"/>
      <c r="I145" s="325"/>
      <c r="J145" s="325"/>
      <c r="K145" s="325"/>
      <c r="L145" s="325"/>
      <c r="M145" s="325"/>
      <c r="N145" s="484"/>
      <c r="O145" s="485"/>
      <c r="P145" s="123">
        <f>P144</f>
        <v>738637.35</v>
      </c>
      <c r="Q145" s="1"/>
      <c r="R145" s="37"/>
      <c r="S145" s="37"/>
    </row>
    <row r="146" spans="1:19" ht="15">
      <c r="A146" s="1"/>
      <c r="B146" s="124"/>
      <c r="C146" s="124"/>
      <c r="D146" s="124"/>
      <c r="E146" s="124"/>
      <c r="F146" s="125"/>
      <c r="G146" s="125"/>
      <c r="H146" s="125"/>
      <c r="I146" s="125"/>
      <c r="J146" s="125"/>
      <c r="K146" s="126"/>
      <c r="L146" s="125"/>
      <c r="M146" s="125"/>
      <c r="N146" s="125"/>
      <c r="O146" s="127"/>
      <c r="P146" s="128"/>
      <c r="Q146" s="1"/>
      <c r="R146" s="37"/>
      <c r="S146" s="1"/>
    </row>
    <row r="147" spans="1:19" ht="15">
      <c r="A147" s="1"/>
      <c r="B147" s="486" t="s">
        <v>204</v>
      </c>
      <c r="C147" s="486"/>
      <c r="D147" s="486"/>
      <c r="E147" s="486"/>
      <c r="F147" s="486"/>
      <c r="G147" s="486"/>
      <c r="H147" s="486"/>
      <c r="I147" s="486"/>
      <c r="J147" s="486"/>
      <c r="K147" s="486"/>
      <c r="L147" s="486"/>
      <c r="M147" s="486"/>
      <c r="N147" s="486"/>
      <c r="O147" s="487" t="s">
        <v>205</v>
      </c>
      <c r="P147" s="487"/>
      <c r="Q147" s="1"/>
      <c r="R147" s="80"/>
      <c r="S147" s="37"/>
    </row>
    <row r="148" spans="1:19" ht="15">
      <c r="A148" s="1"/>
      <c r="B148" s="486" t="s">
        <v>206</v>
      </c>
      <c r="C148" s="486"/>
      <c r="D148" s="486"/>
      <c r="E148" s="486"/>
      <c r="F148" s="486"/>
      <c r="G148" s="486"/>
      <c r="H148" s="486"/>
      <c r="I148" s="486"/>
      <c r="J148" s="486"/>
      <c r="K148" s="486"/>
      <c r="L148" s="486"/>
      <c r="M148" s="486"/>
      <c r="N148" s="486"/>
      <c r="O148" s="486" t="s">
        <v>207</v>
      </c>
      <c r="P148" s="486"/>
      <c r="Q148" s="1"/>
      <c r="R148" s="1"/>
      <c r="S148" s="1"/>
    </row>
    <row r="149" spans="1:19" ht="15">
      <c r="A149" s="1"/>
      <c r="B149" s="172"/>
      <c r="C149" s="172"/>
      <c r="D149" s="172"/>
      <c r="E149" s="172"/>
      <c r="F149" s="172"/>
      <c r="G149" s="172"/>
      <c r="H149" s="172"/>
      <c r="I149" s="172"/>
      <c r="J149" s="130"/>
      <c r="K149" s="131"/>
      <c r="L149" s="130"/>
      <c r="M149" s="172"/>
      <c r="N149" s="172"/>
      <c r="O149" s="172"/>
      <c r="P149" s="130"/>
      <c r="Q149" s="1"/>
      <c r="R149" s="37"/>
      <c r="S149" s="1"/>
    </row>
    <row r="151" spans="1:19" ht="15">
      <c r="A151" s="1"/>
      <c r="B151" s="1"/>
      <c r="C151" s="1"/>
      <c r="D151" s="1"/>
      <c r="E151" s="1"/>
      <c r="F151" s="1"/>
      <c r="G151" s="1"/>
      <c r="H151" s="1"/>
      <c r="I151" s="132"/>
      <c r="J151" s="1"/>
      <c r="K151" s="1"/>
      <c r="L151" s="1"/>
      <c r="M151" s="1"/>
      <c r="N151" s="1"/>
      <c r="O151" s="1"/>
      <c r="P151" s="1"/>
      <c r="Q151" s="1"/>
      <c r="R151" s="37"/>
      <c r="S151" s="1"/>
    </row>
    <row r="152" spans="1:19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37"/>
      <c r="S152" s="1"/>
    </row>
    <row r="153" spans="1:19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7"/>
      <c r="O153" s="1"/>
      <c r="P153" s="1"/>
      <c r="Q153" s="1"/>
      <c r="R153" s="1"/>
      <c r="S153" s="1"/>
    </row>
    <row r="154" spans="12:16" ht="15">
      <c r="L154" s="1"/>
      <c r="M154" s="1"/>
      <c r="N154" s="37"/>
      <c r="O154" s="1"/>
      <c r="P154" s="37"/>
    </row>
    <row r="155" spans="12:16" ht="15">
      <c r="L155" s="1"/>
      <c r="M155" s="1"/>
      <c r="N155" s="133"/>
      <c r="O155" s="1"/>
      <c r="P155" s="37"/>
    </row>
    <row r="156" spans="12:16" ht="15">
      <c r="L156" s="37"/>
      <c r="M156" s="1"/>
      <c r="N156" s="1"/>
      <c r="O156" s="1"/>
      <c r="P156" s="1"/>
    </row>
    <row r="157" spans="12:16" ht="15">
      <c r="L157" s="37"/>
      <c r="M157" s="37"/>
      <c r="N157" s="1"/>
      <c r="O157" s="1"/>
      <c r="P157" s="1"/>
    </row>
  </sheetData>
  <sheetProtection/>
  <mergeCells count="203">
    <mergeCell ref="B1:P1"/>
    <mergeCell ref="B2:P2"/>
    <mergeCell ref="B3:P3"/>
    <mergeCell ref="B4:P4"/>
    <mergeCell ref="B5:E5"/>
    <mergeCell ref="F5:O5"/>
    <mergeCell ref="B9:E9"/>
    <mergeCell ref="F9:G9"/>
    <mergeCell ref="I9:J9"/>
    <mergeCell ref="B10:E10"/>
    <mergeCell ref="F10:G10"/>
    <mergeCell ref="I10:J10"/>
    <mergeCell ref="B6:E6"/>
    <mergeCell ref="F6:O6"/>
    <mergeCell ref="B7:E7"/>
    <mergeCell ref="F7:P7"/>
    <mergeCell ref="B8:E8"/>
    <mergeCell ref="F8:G8"/>
    <mergeCell ref="I8:J8"/>
    <mergeCell ref="P12:P13"/>
    <mergeCell ref="B14:D14"/>
    <mergeCell ref="G14:J14"/>
    <mergeCell ref="A15:A16"/>
    <mergeCell ref="B15:D16"/>
    <mergeCell ref="G15:J15"/>
    <mergeCell ref="G16:J16"/>
    <mergeCell ref="B11:E11"/>
    <mergeCell ref="F11:P11"/>
    <mergeCell ref="A12:A13"/>
    <mergeCell ref="B12:E13"/>
    <mergeCell ref="F12:F13"/>
    <mergeCell ref="G12:K13"/>
    <mergeCell ref="L12:L13"/>
    <mergeCell ref="M12:M13"/>
    <mergeCell ref="N12:N13"/>
    <mergeCell ref="O12:O13"/>
    <mergeCell ref="B20:D20"/>
    <mergeCell ref="G20:J20"/>
    <mergeCell ref="B21:D21"/>
    <mergeCell ref="G21:J21"/>
    <mergeCell ref="B22:D22"/>
    <mergeCell ref="G22:J22"/>
    <mergeCell ref="B17:D17"/>
    <mergeCell ref="G17:J17"/>
    <mergeCell ref="B18:D18"/>
    <mergeCell ref="G18:J18"/>
    <mergeCell ref="B19:D19"/>
    <mergeCell ref="G19:J19"/>
    <mergeCell ref="P26:P27"/>
    <mergeCell ref="B28:D28"/>
    <mergeCell ref="B29:D29"/>
    <mergeCell ref="B23:D23"/>
    <mergeCell ref="G23:J23"/>
    <mergeCell ref="A24:A25"/>
    <mergeCell ref="B24:P25"/>
    <mergeCell ref="A26:A27"/>
    <mergeCell ref="B26:D27"/>
    <mergeCell ref="E26:E27"/>
    <mergeCell ref="F26:F27"/>
    <mergeCell ref="G26:K26"/>
    <mergeCell ref="L26:L27"/>
    <mergeCell ref="B30:D30"/>
    <mergeCell ref="B31:D31"/>
    <mergeCell ref="B32:D32"/>
    <mergeCell ref="B33:D33"/>
    <mergeCell ref="B34:D34"/>
    <mergeCell ref="B35:D35"/>
    <mergeCell ref="M26:M27"/>
    <mergeCell ref="N26:N27"/>
    <mergeCell ref="O26:O27"/>
    <mergeCell ref="B42:D42"/>
    <mergeCell ref="B43:D43"/>
    <mergeCell ref="B44:D44"/>
    <mergeCell ref="B45:D45"/>
    <mergeCell ref="B46:D46"/>
    <mergeCell ref="B48:D48"/>
    <mergeCell ref="B36:D36"/>
    <mergeCell ref="B37:D37"/>
    <mergeCell ref="B38:D38"/>
    <mergeCell ref="B39:D39"/>
    <mergeCell ref="B40:D40"/>
    <mergeCell ref="B41:D41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79:D79"/>
    <mergeCell ref="B80:D80"/>
    <mergeCell ref="B81:D81"/>
    <mergeCell ref="B82:D82"/>
    <mergeCell ref="A83:A84"/>
    <mergeCell ref="B83:P84"/>
    <mergeCell ref="B73:D73"/>
    <mergeCell ref="B74:D74"/>
    <mergeCell ref="B75:D75"/>
    <mergeCell ref="B76:D76"/>
    <mergeCell ref="B77:D77"/>
    <mergeCell ref="B78:D78"/>
    <mergeCell ref="P85:P86"/>
    <mergeCell ref="B87:D87"/>
    <mergeCell ref="B88:D88"/>
    <mergeCell ref="A85:A86"/>
    <mergeCell ref="B85:D86"/>
    <mergeCell ref="E85:E86"/>
    <mergeCell ref="F85:F86"/>
    <mergeCell ref="G85:K85"/>
    <mergeCell ref="L85:L86"/>
    <mergeCell ref="B89:D89"/>
    <mergeCell ref="B90:D90"/>
    <mergeCell ref="B91:D91"/>
    <mergeCell ref="B92:D92"/>
    <mergeCell ref="B93:D93"/>
    <mergeCell ref="B94:D94"/>
    <mergeCell ref="M85:M86"/>
    <mergeCell ref="N85:N86"/>
    <mergeCell ref="O85:O86"/>
    <mergeCell ref="B101:D101"/>
    <mergeCell ref="B102:D102"/>
    <mergeCell ref="B103:D103"/>
    <mergeCell ref="B104:D104"/>
    <mergeCell ref="B105:D105"/>
    <mergeCell ref="B106:D106"/>
    <mergeCell ref="B95:D95"/>
    <mergeCell ref="B96:D96"/>
    <mergeCell ref="B97:D97"/>
    <mergeCell ref="B98:D98"/>
    <mergeCell ref="B99:D99"/>
    <mergeCell ref="B100:D100"/>
    <mergeCell ref="B113:D113"/>
    <mergeCell ref="B114:D114"/>
    <mergeCell ref="B115:D115"/>
    <mergeCell ref="B116:D116"/>
    <mergeCell ref="B117:D117"/>
    <mergeCell ref="B118:D118"/>
    <mergeCell ref="B107:D107"/>
    <mergeCell ref="B108:D108"/>
    <mergeCell ref="B109:D109"/>
    <mergeCell ref="B110:D110"/>
    <mergeCell ref="B111:D111"/>
    <mergeCell ref="B112:D112"/>
    <mergeCell ref="O123:O124"/>
    <mergeCell ref="P123:P124"/>
    <mergeCell ref="B125:D125"/>
    <mergeCell ref="B126:D126"/>
    <mergeCell ref="B127:D127"/>
    <mergeCell ref="B128:D128"/>
    <mergeCell ref="B119:D119"/>
    <mergeCell ref="B120:D120"/>
    <mergeCell ref="B121:P122"/>
    <mergeCell ref="B123:D124"/>
    <mergeCell ref="E123:E124"/>
    <mergeCell ref="F123:F124"/>
    <mergeCell ref="G123:K123"/>
    <mergeCell ref="L123:L124"/>
    <mergeCell ref="M123:M124"/>
    <mergeCell ref="N123:N124"/>
    <mergeCell ref="B135:D135"/>
    <mergeCell ref="B136:D136"/>
    <mergeCell ref="B137:D137"/>
    <mergeCell ref="B138:D138"/>
    <mergeCell ref="B139:D139"/>
    <mergeCell ref="B140:D140"/>
    <mergeCell ref="B129:D129"/>
    <mergeCell ref="B130:D130"/>
    <mergeCell ref="B131:D131"/>
    <mergeCell ref="B132:D132"/>
    <mergeCell ref="B133:D133"/>
    <mergeCell ref="B134:D134"/>
    <mergeCell ref="B145:E145"/>
    <mergeCell ref="F145:O145"/>
    <mergeCell ref="B147:E147"/>
    <mergeCell ref="F147:N147"/>
    <mergeCell ref="O147:P147"/>
    <mergeCell ref="B148:E148"/>
    <mergeCell ref="F148:N148"/>
    <mergeCell ref="O148:P148"/>
    <mergeCell ref="B141:D141"/>
    <mergeCell ref="B142:E142"/>
    <mergeCell ref="I142:J142"/>
    <mergeCell ref="B143:E143"/>
    <mergeCell ref="I143:J143"/>
    <mergeCell ref="B144:E144"/>
    <mergeCell ref="I144:J144"/>
  </mergeCells>
  <printOptions/>
  <pageMargins left="0" right="0" top="0.15748031496062992" bottom="0.15748031496062992" header="0.31496062992125984" footer="0.31496062992125984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7"/>
  <sheetViews>
    <sheetView zoomScalePageLayoutView="0" workbookViewId="0" topLeftCell="A139">
      <selection activeCell="R143" sqref="R143:R145"/>
    </sheetView>
  </sheetViews>
  <sheetFormatPr defaultColWidth="9.140625" defaultRowHeight="15"/>
  <cols>
    <col min="1" max="1" width="3.28125" style="2" customWidth="1"/>
    <col min="2" max="3" width="9.140625" style="2" customWidth="1"/>
    <col min="4" max="4" width="5.7109375" style="2" customWidth="1"/>
    <col min="5" max="7" width="12.7109375" style="2" customWidth="1"/>
    <col min="8" max="8" width="11.140625" style="2" customWidth="1"/>
    <col min="9" max="9" width="7.00390625" style="2" customWidth="1"/>
    <col min="10" max="10" width="11.00390625" style="2" customWidth="1"/>
    <col min="11" max="11" width="13.00390625" style="2" customWidth="1"/>
    <col min="12" max="12" width="12.8515625" style="2" customWidth="1"/>
    <col min="13" max="13" width="13.7109375" style="2" customWidth="1"/>
    <col min="14" max="14" width="11.7109375" style="2" customWidth="1"/>
    <col min="15" max="15" width="8.28125" style="2" customWidth="1"/>
    <col min="16" max="16" width="9.28125" style="2" customWidth="1"/>
    <col min="17" max="17" width="9.140625" style="2" customWidth="1"/>
    <col min="18" max="18" width="11.7109375" style="2" customWidth="1"/>
    <col min="19" max="19" width="11.140625" style="2" bestFit="1" customWidth="1"/>
    <col min="20" max="16384" width="9.140625" style="2" customWidth="1"/>
  </cols>
  <sheetData>
    <row r="1" spans="1:16" ht="15">
      <c r="A1" s="1"/>
      <c r="B1" s="318" t="s">
        <v>0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</row>
    <row r="2" spans="1:16" ht="15">
      <c r="A2" s="1"/>
      <c r="B2" s="319" t="s">
        <v>220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</row>
    <row r="3" spans="1:16" ht="15.75" thickBot="1">
      <c r="A3" s="1"/>
      <c r="B3" s="320" t="s">
        <v>1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</row>
    <row r="4" spans="1:16" ht="15.75" thickBot="1">
      <c r="A4" s="1"/>
      <c r="B4" s="321" t="s">
        <v>2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</row>
    <row r="5" spans="1:16" ht="22.5" customHeight="1" thickBot="1">
      <c r="A5" s="3"/>
      <c r="B5" s="322" t="s">
        <v>209</v>
      </c>
      <c r="C5" s="323"/>
      <c r="D5" s="323"/>
      <c r="E5" s="324"/>
      <c r="F5" s="325"/>
      <c r="G5" s="325"/>
      <c r="H5" s="325"/>
      <c r="I5" s="325"/>
      <c r="J5" s="325"/>
      <c r="K5" s="325"/>
      <c r="L5" s="325"/>
      <c r="M5" s="325"/>
      <c r="N5" s="325"/>
      <c r="O5" s="326"/>
      <c r="P5" s="4">
        <v>9380.24</v>
      </c>
    </row>
    <row r="6" spans="1:16" ht="22.5" customHeight="1" thickBot="1">
      <c r="A6" s="3"/>
      <c r="B6" s="322" t="s">
        <v>221</v>
      </c>
      <c r="C6" s="323"/>
      <c r="D6" s="323"/>
      <c r="E6" s="324"/>
      <c r="F6" s="325"/>
      <c r="G6" s="325"/>
      <c r="H6" s="325"/>
      <c r="I6" s="325"/>
      <c r="J6" s="325"/>
      <c r="K6" s="325"/>
      <c r="L6" s="325"/>
      <c r="M6" s="325"/>
      <c r="N6" s="325"/>
      <c r="O6" s="326"/>
      <c r="P6" s="177">
        <f>P10</f>
        <v>738637.3499999999</v>
      </c>
    </row>
    <row r="7" spans="1:16" ht="15.75" thickBot="1">
      <c r="A7" s="3"/>
      <c r="B7" s="332"/>
      <c r="C7" s="333"/>
      <c r="D7" s="333"/>
      <c r="E7" s="334"/>
      <c r="F7" s="335"/>
      <c r="G7" s="335"/>
      <c r="H7" s="335"/>
      <c r="I7" s="335"/>
      <c r="J7" s="335"/>
      <c r="K7" s="335"/>
      <c r="L7" s="335"/>
      <c r="M7" s="335"/>
      <c r="N7" s="336"/>
      <c r="O7" s="336"/>
      <c r="P7" s="337"/>
    </row>
    <row r="8" spans="1:16" ht="75.75" thickBot="1">
      <c r="A8" s="6"/>
      <c r="B8" s="322" t="s">
        <v>3</v>
      </c>
      <c r="C8" s="323"/>
      <c r="D8" s="323"/>
      <c r="E8" s="324"/>
      <c r="F8" s="338" t="s">
        <v>4</v>
      </c>
      <c r="G8" s="339"/>
      <c r="H8" s="7" t="s">
        <v>5</v>
      </c>
      <c r="I8" s="338" t="s">
        <v>6</v>
      </c>
      <c r="J8" s="339"/>
      <c r="K8" s="8" t="s">
        <v>7</v>
      </c>
      <c r="L8" s="7" t="s">
        <v>8</v>
      </c>
      <c r="M8" s="174" t="s">
        <v>9</v>
      </c>
      <c r="N8" s="180" t="s">
        <v>10</v>
      </c>
      <c r="O8" s="11" t="s">
        <v>11</v>
      </c>
      <c r="P8" s="12"/>
    </row>
    <row r="9" spans="1:16" ht="22.5" customHeight="1" thickBot="1">
      <c r="A9" s="3"/>
      <c r="B9" s="327" t="s">
        <v>12</v>
      </c>
      <c r="C9" s="328"/>
      <c r="D9" s="328"/>
      <c r="E9" s="329"/>
      <c r="F9" s="330">
        <v>0</v>
      </c>
      <c r="G9" s="331"/>
      <c r="H9" s="4">
        <v>0</v>
      </c>
      <c r="I9" s="330">
        <v>0</v>
      </c>
      <c r="J9" s="331"/>
      <c r="K9" s="13">
        <v>0</v>
      </c>
      <c r="L9" s="4">
        <v>0</v>
      </c>
      <c r="M9" s="176">
        <v>0</v>
      </c>
      <c r="N9" s="4">
        <v>0</v>
      </c>
      <c r="O9" s="15">
        <v>0</v>
      </c>
      <c r="P9" s="177">
        <v>0</v>
      </c>
    </row>
    <row r="10" spans="1:16" ht="21" customHeight="1" thickBot="1">
      <c r="A10" s="3"/>
      <c r="B10" s="327" t="s">
        <v>13</v>
      </c>
      <c r="C10" s="328"/>
      <c r="D10" s="328"/>
      <c r="E10" s="329"/>
      <c r="F10" s="330">
        <v>109564.87</v>
      </c>
      <c r="G10" s="331"/>
      <c r="H10" s="4">
        <v>417293.8</v>
      </c>
      <c r="I10" s="330">
        <v>0</v>
      </c>
      <c r="J10" s="331"/>
      <c r="K10" s="13">
        <v>0</v>
      </c>
      <c r="L10" s="4">
        <v>152959.61</v>
      </c>
      <c r="M10" s="176">
        <v>0</v>
      </c>
      <c r="N10" s="4">
        <v>0</v>
      </c>
      <c r="O10" s="4">
        <v>58819.07</v>
      </c>
      <c r="P10" s="177">
        <f>SUM(F10:O10)</f>
        <v>738637.3499999999</v>
      </c>
    </row>
    <row r="11" spans="1:16" ht="15.75" thickBot="1">
      <c r="A11" s="184"/>
      <c r="B11" s="360"/>
      <c r="C11" s="361"/>
      <c r="D11" s="361"/>
      <c r="E11" s="361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3"/>
    </row>
    <row r="12" spans="1:16" ht="15">
      <c r="A12" s="346"/>
      <c r="B12" s="364" t="s">
        <v>14</v>
      </c>
      <c r="C12" s="365"/>
      <c r="D12" s="365"/>
      <c r="E12" s="366"/>
      <c r="F12" s="340"/>
      <c r="G12" s="370" t="s">
        <v>15</v>
      </c>
      <c r="H12" s="362"/>
      <c r="I12" s="362"/>
      <c r="J12" s="362"/>
      <c r="K12" s="363"/>
      <c r="L12" s="340" t="s">
        <v>16</v>
      </c>
      <c r="M12" s="340" t="s">
        <v>17</v>
      </c>
      <c r="N12" s="340" t="s">
        <v>18</v>
      </c>
      <c r="O12" s="340" t="s">
        <v>19</v>
      </c>
      <c r="P12" s="340" t="s">
        <v>20</v>
      </c>
    </row>
    <row r="13" spans="1:16" ht="15.75" thickBot="1">
      <c r="A13" s="347"/>
      <c r="B13" s="367"/>
      <c r="C13" s="368"/>
      <c r="D13" s="368"/>
      <c r="E13" s="369"/>
      <c r="F13" s="341"/>
      <c r="G13" s="371"/>
      <c r="H13" s="372"/>
      <c r="I13" s="372"/>
      <c r="J13" s="372"/>
      <c r="K13" s="373"/>
      <c r="L13" s="341"/>
      <c r="M13" s="341"/>
      <c r="N13" s="341"/>
      <c r="O13" s="341"/>
      <c r="P13" s="341"/>
    </row>
    <row r="14" spans="1:16" ht="15.75" thickBot="1">
      <c r="A14" s="3"/>
      <c r="B14" s="342" t="s">
        <v>21</v>
      </c>
      <c r="C14" s="343"/>
      <c r="D14" s="344"/>
      <c r="E14" s="17" t="s">
        <v>22</v>
      </c>
      <c r="F14" s="181">
        <v>3</v>
      </c>
      <c r="G14" s="345">
        <v>4</v>
      </c>
      <c r="H14" s="335"/>
      <c r="I14" s="335"/>
      <c r="J14" s="337"/>
      <c r="K14" s="19">
        <v>5</v>
      </c>
      <c r="L14" s="179">
        <v>6</v>
      </c>
      <c r="M14" s="7">
        <v>7</v>
      </c>
      <c r="N14" s="179">
        <v>8</v>
      </c>
      <c r="O14" s="179">
        <v>9</v>
      </c>
      <c r="P14" s="7">
        <v>10</v>
      </c>
    </row>
    <row r="15" spans="1:16" ht="30" customHeight="1" thickBot="1">
      <c r="A15" s="346"/>
      <c r="B15" s="348" t="s">
        <v>23</v>
      </c>
      <c r="C15" s="349"/>
      <c r="D15" s="350"/>
      <c r="E15" s="21" t="s">
        <v>24</v>
      </c>
      <c r="F15" s="21" t="s">
        <v>25</v>
      </c>
      <c r="G15" s="354" t="s">
        <v>26</v>
      </c>
      <c r="H15" s="355"/>
      <c r="I15" s="355"/>
      <c r="J15" s="356"/>
      <c r="K15" s="22" t="s">
        <v>27</v>
      </c>
      <c r="L15" s="23" t="s">
        <v>26</v>
      </c>
      <c r="M15" s="24" t="s">
        <v>28</v>
      </c>
      <c r="N15" s="24" t="s">
        <v>26</v>
      </c>
      <c r="O15" s="24" t="s">
        <v>26</v>
      </c>
      <c r="P15" s="25" t="s">
        <v>26</v>
      </c>
    </row>
    <row r="16" spans="1:16" ht="30.75" customHeight="1" thickBot="1">
      <c r="A16" s="347"/>
      <c r="B16" s="351"/>
      <c r="C16" s="352"/>
      <c r="D16" s="353"/>
      <c r="E16" s="26">
        <f>SUM(E17:E23)</f>
        <v>1529861</v>
      </c>
      <c r="F16" s="27">
        <f>SUM(F17:F23)</f>
        <v>6506644</v>
      </c>
      <c r="G16" s="357">
        <f>G17+G18+G19+G20+G21+G22+G23</f>
        <v>1862242.26</v>
      </c>
      <c r="H16" s="358"/>
      <c r="I16" s="358"/>
      <c r="J16" s="359"/>
      <c r="K16" s="186">
        <f>SUM(K17:K23)</f>
        <v>1862242.26</v>
      </c>
      <c r="L16" s="186">
        <f>SUM(L17:L23)</f>
        <v>7101203.660000001</v>
      </c>
      <c r="M16" s="186">
        <f>SUM(M17:M23)</f>
        <v>-332381.26</v>
      </c>
      <c r="N16" s="186">
        <f>SUM(N17:N23)</f>
        <v>-594559.6600000004</v>
      </c>
      <c r="O16" s="29">
        <v>0</v>
      </c>
      <c r="P16" s="29">
        <v>0</v>
      </c>
    </row>
    <row r="17" spans="1:18" ht="58.5" customHeight="1" thickBot="1">
      <c r="A17" s="30" t="s">
        <v>29</v>
      </c>
      <c r="B17" s="383" t="s">
        <v>30</v>
      </c>
      <c r="C17" s="384"/>
      <c r="D17" s="385"/>
      <c r="E17" s="154">
        <v>1105768</v>
      </c>
      <c r="F17" s="31">
        <f>3704503+E17</f>
        <v>4810271</v>
      </c>
      <c r="G17" s="377">
        <v>1228057.03</v>
      </c>
      <c r="H17" s="378"/>
      <c r="I17" s="378"/>
      <c r="J17" s="379"/>
      <c r="K17" s="183">
        <f>G17</f>
        <v>1228057.03</v>
      </c>
      <c r="L17" s="33">
        <f>3603854.91+K17</f>
        <v>4831911.94</v>
      </c>
      <c r="M17" s="34">
        <f>E17-K17</f>
        <v>-122289.03000000003</v>
      </c>
      <c r="N17" s="35">
        <f>F17-L17</f>
        <v>-21640.94000000041</v>
      </c>
      <c r="O17" s="36">
        <v>0</v>
      </c>
      <c r="P17" s="36">
        <v>0</v>
      </c>
      <c r="Q17" s="1"/>
      <c r="R17" s="37">
        <v>365352.1499999948</v>
      </c>
    </row>
    <row r="18" spans="1:18" ht="37.5" customHeight="1" thickBot="1">
      <c r="A18" s="38" t="s">
        <v>31</v>
      </c>
      <c r="B18" s="386" t="s">
        <v>32</v>
      </c>
      <c r="C18" s="387"/>
      <c r="D18" s="388"/>
      <c r="E18" s="148">
        <v>414593</v>
      </c>
      <c r="F18" s="31">
        <f>1243780+E18</f>
        <v>1658373</v>
      </c>
      <c r="G18" s="377">
        <v>450650.2</v>
      </c>
      <c r="H18" s="378"/>
      <c r="I18" s="378"/>
      <c r="J18" s="379"/>
      <c r="K18" s="183">
        <f>G18</f>
        <v>450650.2</v>
      </c>
      <c r="L18" s="33">
        <f>1243780+K18</f>
        <v>1694430.2</v>
      </c>
      <c r="M18" s="34">
        <f>E18-K18</f>
        <v>-36057.20000000001</v>
      </c>
      <c r="N18" s="35">
        <f>F18-L18</f>
        <v>-36057.19999999995</v>
      </c>
      <c r="O18" s="36">
        <v>0</v>
      </c>
      <c r="P18" s="36">
        <v>0</v>
      </c>
      <c r="Q18" s="1"/>
      <c r="R18" s="1"/>
    </row>
    <row r="19" spans="1:18" ht="39.75" customHeight="1" thickBot="1">
      <c r="A19" s="38" t="s">
        <v>33</v>
      </c>
      <c r="B19" s="389" t="s">
        <v>34</v>
      </c>
      <c r="C19" s="390"/>
      <c r="D19" s="391"/>
      <c r="E19" s="39"/>
      <c r="F19" s="31">
        <f>0+E19</f>
        <v>0</v>
      </c>
      <c r="G19" s="377"/>
      <c r="H19" s="378"/>
      <c r="I19" s="378"/>
      <c r="J19" s="379"/>
      <c r="K19" s="183">
        <f>G19</f>
        <v>0</v>
      </c>
      <c r="L19" s="33">
        <f>0+K19</f>
        <v>0</v>
      </c>
      <c r="M19" s="34">
        <f aca="true" t="shared" si="0" ref="M19:N23">E19-K19</f>
        <v>0</v>
      </c>
      <c r="N19" s="35">
        <f t="shared" si="0"/>
        <v>0</v>
      </c>
      <c r="O19" s="36">
        <v>0</v>
      </c>
      <c r="P19" s="40">
        <v>0</v>
      </c>
      <c r="Q19" s="1"/>
      <c r="R19" s="1"/>
    </row>
    <row r="20" spans="1:18" ht="30" customHeight="1" thickBot="1">
      <c r="A20" s="41" t="s">
        <v>35</v>
      </c>
      <c r="B20" s="374" t="s">
        <v>36</v>
      </c>
      <c r="C20" s="375"/>
      <c r="D20" s="376"/>
      <c r="E20" s="42"/>
      <c r="F20" s="31">
        <f>0+E20</f>
        <v>0</v>
      </c>
      <c r="G20" s="377"/>
      <c r="H20" s="378"/>
      <c r="I20" s="378"/>
      <c r="J20" s="379"/>
      <c r="K20" s="183">
        <f>G20</f>
        <v>0</v>
      </c>
      <c r="L20" s="33">
        <f>0+K20</f>
        <v>0</v>
      </c>
      <c r="M20" s="34">
        <f t="shared" si="0"/>
        <v>0</v>
      </c>
      <c r="N20" s="35">
        <f t="shared" si="0"/>
        <v>0</v>
      </c>
      <c r="O20" s="36">
        <v>0</v>
      </c>
      <c r="P20" s="36">
        <v>0</v>
      </c>
      <c r="Q20" s="37"/>
      <c r="R20" s="37"/>
    </row>
    <row r="21" spans="1:18" ht="36.75" customHeight="1" thickBot="1">
      <c r="A21" s="43" t="s">
        <v>37</v>
      </c>
      <c r="B21" s="380" t="s">
        <v>38</v>
      </c>
      <c r="C21" s="381"/>
      <c r="D21" s="382"/>
      <c r="E21" s="44"/>
      <c r="F21" s="31">
        <f>0+E21</f>
        <v>0</v>
      </c>
      <c r="G21" s="377"/>
      <c r="H21" s="378"/>
      <c r="I21" s="378"/>
      <c r="J21" s="379"/>
      <c r="K21" s="183">
        <f>G21</f>
        <v>0</v>
      </c>
      <c r="L21" s="33">
        <f>0+K21</f>
        <v>0</v>
      </c>
      <c r="M21" s="34">
        <f t="shared" si="0"/>
        <v>0</v>
      </c>
      <c r="N21" s="35">
        <f t="shared" si="0"/>
        <v>0</v>
      </c>
      <c r="O21" s="36">
        <v>0</v>
      </c>
      <c r="P21" s="36">
        <v>0</v>
      </c>
      <c r="Q21" s="37"/>
      <c r="R21" s="1"/>
    </row>
    <row r="22" spans="1:18" ht="47.25" customHeight="1" thickBot="1">
      <c r="A22" s="43" t="s">
        <v>39</v>
      </c>
      <c r="B22" s="383" t="s">
        <v>40</v>
      </c>
      <c r="C22" s="384"/>
      <c r="D22" s="385"/>
      <c r="E22" s="149">
        <v>9500</v>
      </c>
      <c r="F22" s="31">
        <f>28500+E22</f>
        <v>38000</v>
      </c>
      <c r="G22" s="377">
        <v>810</v>
      </c>
      <c r="H22" s="378"/>
      <c r="I22" s="378"/>
      <c r="J22" s="379"/>
      <c r="K22" s="183">
        <f>G22</f>
        <v>810</v>
      </c>
      <c r="L22" s="33">
        <f>27571.98+K22</f>
        <v>28381.98</v>
      </c>
      <c r="M22" s="34">
        <f>E22-K22</f>
        <v>8690</v>
      </c>
      <c r="N22" s="35">
        <f t="shared" si="0"/>
        <v>9618.02</v>
      </c>
      <c r="O22" s="36">
        <v>0</v>
      </c>
      <c r="P22" s="36">
        <v>0</v>
      </c>
      <c r="Q22" s="1"/>
      <c r="R22" s="1"/>
    </row>
    <row r="23" spans="1:18" ht="40.5" customHeight="1" thickBot="1">
      <c r="A23" s="43" t="s">
        <v>41</v>
      </c>
      <c r="B23" s="392" t="s">
        <v>42</v>
      </c>
      <c r="C23" s="393"/>
      <c r="D23" s="394"/>
      <c r="E23" s="46"/>
      <c r="F23" s="31"/>
      <c r="G23" s="377">
        <v>182725.03</v>
      </c>
      <c r="H23" s="378"/>
      <c r="I23" s="378"/>
      <c r="J23" s="379"/>
      <c r="K23" s="183">
        <f>G23</f>
        <v>182725.03</v>
      </c>
      <c r="L23" s="33">
        <f>363754.51+K23</f>
        <v>546479.54</v>
      </c>
      <c r="M23" s="34">
        <f t="shared" si="0"/>
        <v>-182725.03</v>
      </c>
      <c r="N23" s="35">
        <f t="shared" si="0"/>
        <v>-546479.54</v>
      </c>
      <c r="O23" s="36">
        <v>0</v>
      </c>
      <c r="P23" s="36">
        <v>0</v>
      </c>
      <c r="Q23" s="1"/>
      <c r="R23" s="1"/>
    </row>
    <row r="24" spans="1:18" ht="15">
      <c r="A24" s="346"/>
      <c r="B24" s="395" t="s">
        <v>43</v>
      </c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7"/>
      <c r="Q24" s="1"/>
      <c r="R24" s="1"/>
    </row>
    <row r="25" spans="1:18" ht="15.75" thickBot="1">
      <c r="A25" s="347"/>
      <c r="B25" s="398"/>
      <c r="C25" s="399"/>
      <c r="D25" s="399"/>
      <c r="E25" s="399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400"/>
      <c r="Q25" s="1"/>
      <c r="R25" s="1"/>
    </row>
    <row r="26" spans="1:18" ht="15.75" thickBot="1">
      <c r="A26" s="346"/>
      <c r="B26" s="364" t="s">
        <v>14</v>
      </c>
      <c r="C26" s="365"/>
      <c r="D26" s="366"/>
      <c r="E26" s="401" t="s">
        <v>24</v>
      </c>
      <c r="F26" s="403" t="s">
        <v>25</v>
      </c>
      <c r="G26" s="338" t="s">
        <v>44</v>
      </c>
      <c r="H26" s="321"/>
      <c r="I26" s="321"/>
      <c r="J26" s="321"/>
      <c r="K26" s="339"/>
      <c r="L26" s="340" t="s">
        <v>16</v>
      </c>
      <c r="M26" s="340" t="s">
        <v>17</v>
      </c>
      <c r="N26" s="340" t="s">
        <v>18</v>
      </c>
      <c r="O26" s="340" t="s">
        <v>19</v>
      </c>
      <c r="P26" s="340" t="s">
        <v>20</v>
      </c>
      <c r="Q26" s="1"/>
      <c r="R26" s="1"/>
    </row>
    <row r="27" spans="1:18" ht="87" customHeight="1" thickBot="1">
      <c r="A27" s="347"/>
      <c r="B27" s="367"/>
      <c r="C27" s="368"/>
      <c r="D27" s="369"/>
      <c r="E27" s="402"/>
      <c r="F27" s="404"/>
      <c r="G27" s="182" t="s">
        <v>45</v>
      </c>
      <c r="H27" s="182" t="s">
        <v>46</v>
      </c>
      <c r="I27" s="182" t="s">
        <v>47</v>
      </c>
      <c r="J27" s="7" t="s">
        <v>48</v>
      </c>
      <c r="K27" s="8" t="s">
        <v>27</v>
      </c>
      <c r="L27" s="341"/>
      <c r="M27" s="341"/>
      <c r="N27" s="341"/>
      <c r="O27" s="341"/>
      <c r="P27" s="341"/>
      <c r="Q27" s="1"/>
      <c r="R27" s="37">
        <v>365352.1499999948</v>
      </c>
    </row>
    <row r="28" spans="1:18" ht="15.75" thickBot="1">
      <c r="A28" s="3"/>
      <c r="B28" s="342">
        <v>1</v>
      </c>
      <c r="C28" s="343"/>
      <c r="D28" s="344"/>
      <c r="E28" s="17" t="s">
        <v>22</v>
      </c>
      <c r="F28" s="182">
        <v>3</v>
      </c>
      <c r="G28" s="182">
        <v>4</v>
      </c>
      <c r="H28" s="182">
        <v>5</v>
      </c>
      <c r="I28" s="7">
        <v>6</v>
      </c>
      <c r="J28" s="7">
        <v>7</v>
      </c>
      <c r="K28" s="48">
        <v>8</v>
      </c>
      <c r="L28" s="179">
        <v>9</v>
      </c>
      <c r="M28" s="7">
        <v>10</v>
      </c>
      <c r="N28" s="179">
        <v>11</v>
      </c>
      <c r="O28" s="7">
        <v>12</v>
      </c>
      <c r="P28" s="179">
        <v>13</v>
      </c>
      <c r="Q28" s="1"/>
      <c r="R28" s="1"/>
    </row>
    <row r="29" spans="1:18" ht="27.75" customHeight="1" thickBot="1">
      <c r="A29" s="3"/>
      <c r="B29" s="345" t="s">
        <v>23</v>
      </c>
      <c r="C29" s="335"/>
      <c r="D29" s="337"/>
      <c r="E29" s="49">
        <f>E30+E34+E38+E44+E51+E54+E64+E67+E71+E74+E78+E80+E88+E101+E132+E135+E138+E141</f>
        <v>1529861</v>
      </c>
      <c r="F29" s="49">
        <f>F30+F34+F38+F44+F51+F54+F64+F67+F71+F74+F78+F80+F88+F101+F132+F135+F138+F141</f>
        <v>6512148</v>
      </c>
      <c r="G29" s="49">
        <f>G30+G34+G38+G44+G51+G54+G64+G67+G71+G74+G78+G80+G88+G101+G132+G135+G138+G141</f>
        <v>1584372.2</v>
      </c>
      <c r="H29" s="49">
        <f>H30+H34+H38+H44+H51+H54+H64+H67+H71+H74+H78+H80+H88+H101+H132+H135+H138+H141</f>
        <v>865243.3999999999</v>
      </c>
      <c r="I29" s="49">
        <f>I30+I34+I38+I44+I51+I54+I64+I67+I71+I74+I78+I80+I88+I101+I132+I135+I138+I141</f>
        <v>0</v>
      </c>
      <c r="J29" s="49">
        <f>J30+J34+J38+J44+J51+J54+J64+J67+J71+J74+J78+J80+J88+J101+J132+J135+J138+J141</f>
        <v>148521.9</v>
      </c>
      <c r="K29" s="49">
        <f>K30+K34+K38+K44+K51+K54+K64+K67+K71+K74+K78+K80+K88+K101+K132+K135+K138+K141</f>
        <v>2591738.7499999995</v>
      </c>
      <c r="L29" s="49">
        <f>L30+L34+L38+L44+L51+L54+L64+L67+L71+L74+L78+L80+L88+L101+L132+L135+L138+L141</f>
        <v>7107841.790000001</v>
      </c>
      <c r="M29" s="49">
        <f>M30+M34+M38+M44+M51+M54+M64+M67+M71+M74+M78+M80+M88+M101+M132+M135+M138+M141</f>
        <v>-1061877.7499999998</v>
      </c>
      <c r="N29" s="49">
        <f>N30+N34+N38+N44+N51+N54+N64+N67+N71+N74+N78+N80+N88+N101+N132+N135+N138+N141</f>
        <v>-595693.79</v>
      </c>
      <c r="O29" s="50">
        <v>0</v>
      </c>
      <c r="P29" s="50">
        <v>0</v>
      </c>
      <c r="Q29" s="1"/>
      <c r="R29" s="37">
        <f>3440426+E29</f>
        <v>4970287</v>
      </c>
    </row>
    <row r="30" spans="1:18" ht="24.75" customHeight="1" thickBot="1">
      <c r="A30" s="51" t="s">
        <v>21</v>
      </c>
      <c r="B30" s="417" t="s">
        <v>49</v>
      </c>
      <c r="C30" s="418"/>
      <c r="D30" s="419"/>
      <c r="E30" s="52">
        <f>SUM(E31:E32)</f>
        <v>776802</v>
      </c>
      <c r="F30" s="53">
        <f>F31+F32+F33</f>
        <v>3107208</v>
      </c>
      <c r="G30" s="54">
        <f>G31+G32+G33</f>
        <v>551685.19</v>
      </c>
      <c r="H30" s="54">
        <f>H31</f>
        <v>719834.69</v>
      </c>
      <c r="I30" s="54"/>
      <c r="J30" s="54"/>
      <c r="K30" s="53">
        <f>G30+H30</f>
        <v>1271519.88</v>
      </c>
      <c r="L30" s="55">
        <f>L31+L32</f>
        <v>3022167.04</v>
      </c>
      <c r="M30" s="56">
        <f>E30-K30</f>
        <v>-494717.8799999999</v>
      </c>
      <c r="N30" s="57">
        <f>F30-L30</f>
        <v>85040.95999999996</v>
      </c>
      <c r="O30" s="58">
        <v>0</v>
      </c>
      <c r="P30" s="59">
        <v>0</v>
      </c>
      <c r="Q30" s="37"/>
      <c r="R30" s="37"/>
    </row>
    <row r="31" spans="1:18" ht="16.5" customHeight="1" thickBot="1">
      <c r="A31" s="60" t="s">
        <v>50</v>
      </c>
      <c r="B31" s="411" t="s">
        <v>51</v>
      </c>
      <c r="C31" s="412"/>
      <c r="D31" s="413"/>
      <c r="E31" s="187">
        <v>344919</v>
      </c>
      <c r="F31" s="31">
        <f>1034759+E31</f>
        <v>1379678</v>
      </c>
      <c r="G31" s="62"/>
      <c r="H31" s="62">
        <v>719834.69</v>
      </c>
      <c r="I31" s="62"/>
      <c r="J31" s="62"/>
      <c r="K31" s="45">
        <f>H31</f>
        <v>719834.69</v>
      </c>
      <c r="L31" s="33">
        <f>687138.8+K31</f>
        <v>1406973.49</v>
      </c>
      <c r="M31" s="34">
        <f>E31-K31</f>
        <v>-374915.68999999994</v>
      </c>
      <c r="N31" s="63">
        <f>F31-L31</f>
        <v>-27295.48999999999</v>
      </c>
      <c r="O31" s="64">
        <v>0</v>
      </c>
      <c r="P31" s="65">
        <v>0</v>
      </c>
      <c r="Q31" s="37"/>
      <c r="R31" s="37"/>
    </row>
    <row r="32" spans="1:18" ht="13.5" customHeight="1" thickBot="1">
      <c r="A32" s="60" t="s">
        <v>52</v>
      </c>
      <c r="B32" s="405" t="s">
        <v>53</v>
      </c>
      <c r="C32" s="406"/>
      <c r="D32" s="407"/>
      <c r="E32" s="187">
        <v>431883</v>
      </c>
      <c r="F32" s="31">
        <f>1295647+E32</f>
        <v>1727530</v>
      </c>
      <c r="G32" s="62">
        <v>551685.19</v>
      </c>
      <c r="H32" s="62"/>
      <c r="I32" s="62"/>
      <c r="J32" s="62"/>
      <c r="K32" s="33">
        <f>0+G32</f>
        <v>551685.19</v>
      </c>
      <c r="L32" s="33">
        <f>1063508.36+K32</f>
        <v>1615193.55</v>
      </c>
      <c r="M32" s="34">
        <f>E32-K32</f>
        <v>-119802.18999999994</v>
      </c>
      <c r="N32" s="63">
        <f>F32-L32</f>
        <v>112336.44999999995</v>
      </c>
      <c r="O32" s="64">
        <v>0</v>
      </c>
      <c r="P32" s="65">
        <v>0</v>
      </c>
      <c r="Q32" s="37"/>
      <c r="R32" s="37"/>
    </row>
    <row r="33" spans="1:18" ht="15.75" thickBot="1">
      <c r="A33" s="60" t="s">
        <v>54</v>
      </c>
      <c r="B33" s="405" t="s">
        <v>55</v>
      </c>
      <c r="C33" s="406"/>
      <c r="D33" s="407"/>
      <c r="E33" s="66"/>
      <c r="F33" s="33"/>
      <c r="G33" s="62"/>
      <c r="H33" s="62"/>
      <c r="I33" s="62"/>
      <c r="J33" s="62"/>
      <c r="K33" s="45"/>
      <c r="L33" s="33"/>
      <c r="M33" s="67"/>
      <c r="N33" s="68"/>
      <c r="O33" s="64"/>
      <c r="P33" s="65"/>
      <c r="Q33" s="37"/>
      <c r="R33" s="37"/>
    </row>
    <row r="34" spans="1:18" ht="27" customHeight="1" thickBot="1">
      <c r="A34" s="69" t="s">
        <v>22</v>
      </c>
      <c r="B34" s="408" t="s">
        <v>56</v>
      </c>
      <c r="C34" s="409"/>
      <c r="D34" s="410"/>
      <c r="E34" s="53">
        <f>SUM(E35:E37)</f>
        <v>156914</v>
      </c>
      <c r="F34" s="53">
        <f>F35+F36+F37</f>
        <v>627656</v>
      </c>
      <c r="G34" s="54">
        <f>G35+G36+G37</f>
        <v>160149.03</v>
      </c>
      <c r="H34" s="54">
        <f>H35</f>
        <v>145408.71</v>
      </c>
      <c r="I34" s="54"/>
      <c r="J34" s="54"/>
      <c r="K34" s="53">
        <f>G34+H34</f>
        <v>305557.74</v>
      </c>
      <c r="L34" s="55">
        <f>L35+L36</f>
        <v>645033.08</v>
      </c>
      <c r="M34" s="56">
        <f aca="true" t="shared" si="1" ref="M34:N36">E34-K34</f>
        <v>-148643.74</v>
      </c>
      <c r="N34" s="70">
        <f t="shared" si="1"/>
        <v>-17377.079999999958</v>
      </c>
      <c r="O34" s="58">
        <v>0</v>
      </c>
      <c r="P34" s="59">
        <v>0</v>
      </c>
      <c r="Q34" s="1"/>
      <c r="R34" s="1"/>
    </row>
    <row r="35" spans="1:18" ht="15.75" thickBot="1">
      <c r="A35" s="60" t="s">
        <v>57</v>
      </c>
      <c r="B35" s="411" t="s">
        <v>51</v>
      </c>
      <c r="C35" s="412"/>
      <c r="D35" s="413"/>
      <c r="E35" s="188">
        <v>69674</v>
      </c>
      <c r="F35" s="31">
        <f>209022+E35</f>
        <v>278696</v>
      </c>
      <c r="G35" s="62"/>
      <c r="H35" s="62">
        <v>145408.71</v>
      </c>
      <c r="I35" s="62"/>
      <c r="J35" s="62"/>
      <c r="K35" s="45">
        <f>H35</f>
        <v>145408.71</v>
      </c>
      <c r="L35" s="33">
        <f>139347.4+K35</f>
        <v>284756.11</v>
      </c>
      <c r="M35" s="34">
        <f t="shared" si="1"/>
        <v>-75734.70999999999</v>
      </c>
      <c r="N35" s="63">
        <f t="shared" si="1"/>
        <v>-6060.109999999986</v>
      </c>
      <c r="O35" s="64">
        <v>0</v>
      </c>
      <c r="P35" s="65">
        <v>0</v>
      </c>
      <c r="Q35" s="1"/>
      <c r="R35" s="71">
        <f>10506304-F29</f>
        <v>3994156</v>
      </c>
    </row>
    <row r="36" spans="1:18" ht="15.75" thickBot="1">
      <c r="A36" s="60" t="s">
        <v>58</v>
      </c>
      <c r="B36" s="405" t="s">
        <v>53</v>
      </c>
      <c r="C36" s="406"/>
      <c r="D36" s="407"/>
      <c r="E36" s="188">
        <v>87240</v>
      </c>
      <c r="F36" s="31">
        <f>261720+E36</f>
        <v>348960</v>
      </c>
      <c r="G36" s="62">
        <v>160149.03</v>
      </c>
      <c r="H36" s="62"/>
      <c r="I36" s="62"/>
      <c r="J36" s="62"/>
      <c r="K36" s="45">
        <f>G36</f>
        <v>160149.03</v>
      </c>
      <c r="L36" s="33">
        <f>200127.94+K36</f>
        <v>360276.97</v>
      </c>
      <c r="M36" s="34">
        <f>E36-K36</f>
        <v>-72909.03</v>
      </c>
      <c r="N36" s="63">
        <f t="shared" si="1"/>
        <v>-11316.969999999972</v>
      </c>
      <c r="O36" s="64">
        <v>0</v>
      </c>
      <c r="P36" s="65">
        <v>0</v>
      </c>
      <c r="Q36" s="1"/>
      <c r="R36" s="1"/>
    </row>
    <row r="37" spans="1:18" ht="15.75" thickBot="1">
      <c r="A37" s="60" t="s">
        <v>59</v>
      </c>
      <c r="B37" s="405" t="s">
        <v>55</v>
      </c>
      <c r="C37" s="406"/>
      <c r="D37" s="407"/>
      <c r="E37" s="45"/>
      <c r="F37" s="31"/>
      <c r="G37" s="62"/>
      <c r="H37" s="62"/>
      <c r="I37" s="62"/>
      <c r="J37" s="62"/>
      <c r="K37" s="45"/>
      <c r="L37" s="33"/>
      <c r="M37" s="67"/>
      <c r="N37" s="72"/>
      <c r="O37" s="64"/>
      <c r="P37" s="65"/>
      <c r="Q37" s="1"/>
      <c r="R37" s="1"/>
    </row>
    <row r="38" spans="1:18" ht="26.25" customHeight="1" thickBot="1">
      <c r="A38" s="51" t="s">
        <v>60</v>
      </c>
      <c r="B38" s="408" t="s">
        <v>61</v>
      </c>
      <c r="C38" s="409"/>
      <c r="D38" s="410"/>
      <c r="E38" s="53">
        <f>SUM(E41:E43)</f>
        <v>5065</v>
      </c>
      <c r="F38" s="73">
        <f>F41+F42+F43</f>
        <v>23260</v>
      </c>
      <c r="G38" s="54">
        <f>G40</f>
        <v>4972.82</v>
      </c>
      <c r="H38" s="54"/>
      <c r="I38" s="54"/>
      <c r="J38" s="54"/>
      <c r="K38" s="55">
        <f>K39+K40</f>
        <v>4972.82</v>
      </c>
      <c r="L38" s="55">
        <f>L40+L39</f>
        <v>22268.489999999998</v>
      </c>
      <c r="M38" s="56">
        <f>E38-K38</f>
        <v>92.18000000000029</v>
      </c>
      <c r="N38" s="57">
        <f>F38-L38</f>
        <v>991.510000000002</v>
      </c>
      <c r="O38" s="58">
        <v>0</v>
      </c>
      <c r="P38" s="59">
        <v>0</v>
      </c>
      <c r="Q38" s="1"/>
      <c r="R38" s="1"/>
    </row>
    <row r="39" spans="1:18" ht="15.75" thickBot="1">
      <c r="A39" s="60" t="s">
        <v>62</v>
      </c>
      <c r="B39" s="411" t="s">
        <v>51</v>
      </c>
      <c r="C39" s="412"/>
      <c r="D39" s="413"/>
      <c r="E39" s="33"/>
      <c r="F39" s="31"/>
      <c r="G39" s="62"/>
      <c r="H39" s="62"/>
      <c r="I39" s="62"/>
      <c r="J39" s="62"/>
      <c r="K39" s="45"/>
      <c r="L39" s="33"/>
      <c r="M39" s="67"/>
      <c r="N39" s="72"/>
      <c r="O39" s="64"/>
      <c r="P39" s="65"/>
      <c r="Q39" s="1"/>
      <c r="R39" s="1"/>
    </row>
    <row r="40" spans="1:18" ht="15.75" thickBot="1">
      <c r="A40" s="60" t="s">
        <v>63</v>
      </c>
      <c r="B40" s="405" t="s">
        <v>53</v>
      </c>
      <c r="C40" s="406"/>
      <c r="D40" s="407"/>
      <c r="E40" s="45">
        <f>E41+E42+E43</f>
        <v>5065</v>
      </c>
      <c r="F40" s="31">
        <f>18195+E40</f>
        <v>23260</v>
      </c>
      <c r="G40" s="62">
        <f>G41+G42</f>
        <v>4972.82</v>
      </c>
      <c r="H40" s="62"/>
      <c r="I40" s="62"/>
      <c r="J40" s="62"/>
      <c r="K40" s="33">
        <f>0+G40</f>
        <v>4972.82</v>
      </c>
      <c r="L40" s="33">
        <f>L41+L42+L43</f>
        <v>22268.489999999998</v>
      </c>
      <c r="M40" s="34">
        <f>E40-K40</f>
        <v>92.18000000000029</v>
      </c>
      <c r="N40" s="63">
        <f aca="true" t="shared" si="2" ref="M40:N55">F40-L40</f>
        <v>991.510000000002</v>
      </c>
      <c r="O40" s="64">
        <v>0</v>
      </c>
      <c r="P40" s="65">
        <v>0</v>
      </c>
      <c r="Q40" s="1"/>
      <c r="R40" s="1"/>
    </row>
    <row r="41" spans="1:18" ht="15.75" thickBot="1">
      <c r="A41" s="60" t="s">
        <v>64</v>
      </c>
      <c r="B41" s="414" t="s">
        <v>65</v>
      </c>
      <c r="C41" s="415"/>
      <c r="D41" s="416"/>
      <c r="E41" s="153">
        <v>2846</v>
      </c>
      <c r="F41" s="31">
        <f>8538+E41</f>
        <v>11384</v>
      </c>
      <c r="G41" s="62">
        <v>2753.82</v>
      </c>
      <c r="H41" s="62"/>
      <c r="I41" s="62"/>
      <c r="J41" s="62"/>
      <c r="K41" s="33">
        <f>0+G41</f>
        <v>2753.82</v>
      </c>
      <c r="L41" s="33">
        <f>8526.67+K41</f>
        <v>11280.49</v>
      </c>
      <c r="M41" s="34">
        <f t="shared" si="2"/>
        <v>92.17999999999984</v>
      </c>
      <c r="N41" s="63">
        <f t="shared" si="2"/>
        <v>103.51000000000022</v>
      </c>
      <c r="O41" s="64">
        <v>0</v>
      </c>
      <c r="P41" s="65">
        <v>0</v>
      </c>
      <c r="Q41" s="1"/>
      <c r="R41" s="1"/>
    </row>
    <row r="42" spans="1:18" ht="15.75" thickBot="1">
      <c r="A42" s="60" t="s">
        <v>66</v>
      </c>
      <c r="B42" s="414" t="s">
        <v>67</v>
      </c>
      <c r="C42" s="415"/>
      <c r="D42" s="416"/>
      <c r="E42" s="153">
        <v>2219</v>
      </c>
      <c r="F42" s="31">
        <f>6657+E42</f>
        <v>8876</v>
      </c>
      <c r="G42" s="62">
        <v>2219</v>
      </c>
      <c r="H42" s="62"/>
      <c r="I42" s="62"/>
      <c r="J42" s="62"/>
      <c r="K42" s="33">
        <f>0+G42</f>
        <v>2219</v>
      </c>
      <c r="L42" s="33">
        <f>6657+K42</f>
        <v>8876</v>
      </c>
      <c r="M42" s="34">
        <f t="shared" si="2"/>
        <v>0</v>
      </c>
      <c r="N42" s="63">
        <f t="shared" si="2"/>
        <v>0</v>
      </c>
      <c r="O42" s="64">
        <v>0</v>
      </c>
      <c r="P42" s="65">
        <v>0</v>
      </c>
      <c r="Q42" s="1"/>
      <c r="R42" s="1"/>
    </row>
    <row r="43" spans="1:18" ht="15.75" thickBot="1">
      <c r="A43" s="60" t="s">
        <v>68</v>
      </c>
      <c r="B43" s="414" t="s">
        <v>210</v>
      </c>
      <c r="C43" s="415"/>
      <c r="D43" s="416"/>
      <c r="E43" s="153"/>
      <c r="F43" s="31">
        <f>3000+E43</f>
        <v>3000</v>
      </c>
      <c r="G43" s="74"/>
      <c r="H43" s="74"/>
      <c r="I43" s="74"/>
      <c r="J43" s="62"/>
      <c r="K43" s="33">
        <f>0+J43</f>
        <v>0</v>
      </c>
      <c r="L43" s="33">
        <f>2112+K43</f>
        <v>2112</v>
      </c>
      <c r="M43" s="34">
        <f t="shared" si="2"/>
        <v>0</v>
      </c>
      <c r="N43" s="63">
        <f t="shared" si="2"/>
        <v>888</v>
      </c>
      <c r="O43" s="64">
        <v>0</v>
      </c>
      <c r="P43" s="65">
        <v>0</v>
      </c>
      <c r="Q43" s="1"/>
      <c r="R43" s="37"/>
    </row>
    <row r="44" spans="1:18" ht="36.75" customHeight="1" thickBot="1">
      <c r="A44" s="51" t="s">
        <v>69</v>
      </c>
      <c r="B44" s="408" t="s">
        <v>70</v>
      </c>
      <c r="C44" s="409"/>
      <c r="D44" s="410"/>
      <c r="E44" s="53">
        <f>SUM(E47:E49)</f>
        <v>265000</v>
      </c>
      <c r="F44" s="73">
        <f>F45+F46+F47</f>
        <v>925200</v>
      </c>
      <c r="G44" s="55">
        <f>G45+G46+G47</f>
        <v>287577.5</v>
      </c>
      <c r="H44" s="75"/>
      <c r="I44" s="75"/>
      <c r="J44" s="54"/>
      <c r="K44" s="55">
        <f>K45+K46+K47</f>
        <v>287577.5</v>
      </c>
      <c r="L44" s="55">
        <f>L45+L46+L47</f>
        <v>835294.5</v>
      </c>
      <c r="M44" s="56">
        <f t="shared" si="2"/>
        <v>-22577.5</v>
      </c>
      <c r="N44" s="158">
        <f t="shared" si="2"/>
        <v>89905.5</v>
      </c>
      <c r="O44" s="58">
        <v>0</v>
      </c>
      <c r="P44" s="59">
        <v>0</v>
      </c>
      <c r="Q44" s="1"/>
      <c r="R44" s="1"/>
    </row>
    <row r="45" spans="1:18" ht="15.75" thickBot="1">
      <c r="A45" s="60" t="s">
        <v>71</v>
      </c>
      <c r="B45" s="405" t="s">
        <v>53</v>
      </c>
      <c r="C45" s="406"/>
      <c r="D45" s="407"/>
      <c r="E45" s="155">
        <f>E48+E49</f>
        <v>265000</v>
      </c>
      <c r="F45" s="31">
        <f>F48+F49+F50</f>
        <v>925200</v>
      </c>
      <c r="G45" s="33">
        <f>G48+G49</f>
        <v>287577.5</v>
      </c>
      <c r="H45" s="74"/>
      <c r="I45" s="74"/>
      <c r="J45" s="62"/>
      <c r="K45" s="33">
        <f>0+G45</f>
        <v>287577.5</v>
      </c>
      <c r="L45" s="33">
        <f>L48+L49</f>
        <v>835294.5</v>
      </c>
      <c r="M45" s="34">
        <f t="shared" si="2"/>
        <v>-22577.5</v>
      </c>
      <c r="N45" s="35">
        <f t="shared" si="2"/>
        <v>89905.5</v>
      </c>
      <c r="O45" s="64">
        <v>0</v>
      </c>
      <c r="P45" s="65">
        <v>0</v>
      </c>
      <c r="Q45" s="1"/>
      <c r="R45" s="1"/>
    </row>
    <row r="46" spans="1:18" ht="15.75" thickBot="1">
      <c r="A46" s="60" t="s">
        <v>72</v>
      </c>
      <c r="B46" s="411" t="s">
        <v>51</v>
      </c>
      <c r="C46" s="412"/>
      <c r="D46" s="413"/>
      <c r="E46" s="76"/>
      <c r="F46" s="31"/>
      <c r="G46" s="33"/>
      <c r="H46" s="74"/>
      <c r="I46" s="74"/>
      <c r="J46" s="62"/>
      <c r="K46" s="33">
        <f aca="true" t="shared" si="3" ref="K46:K53">0+G46</f>
        <v>0</v>
      </c>
      <c r="L46" s="33">
        <f>0+K46</f>
        <v>0</v>
      </c>
      <c r="M46" s="34">
        <f t="shared" si="2"/>
        <v>0</v>
      </c>
      <c r="N46" s="63">
        <f t="shared" si="2"/>
        <v>0</v>
      </c>
      <c r="O46" s="64">
        <v>0</v>
      </c>
      <c r="P46" s="65">
        <v>0</v>
      </c>
      <c r="Q46" s="1"/>
      <c r="R46" s="1"/>
    </row>
    <row r="47" spans="1:18" ht="15.75" thickBot="1">
      <c r="A47" s="60" t="s">
        <v>73</v>
      </c>
      <c r="B47" s="77" t="s">
        <v>55</v>
      </c>
      <c r="C47" s="78"/>
      <c r="D47" s="78"/>
      <c r="E47" s="79"/>
      <c r="F47" s="31"/>
      <c r="G47" s="33"/>
      <c r="H47" s="74"/>
      <c r="I47" s="74"/>
      <c r="J47" s="62"/>
      <c r="K47" s="33">
        <f t="shared" si="3"/>
        <v>0</v>
      </c>
      <c r="L47" s="33">
        <f>0+K47</f>
        <v>0</v>
      </c>
      <c r="M47" s="34">
        <f t="shared" si="2"/>
        <v>0</v>
      </c>
      <c r="N47" s="63">
        <f t="shared" si="2"/>
        <v>0</v>
      </c>
      <c r="O47" s="64">
        <v>0</v>
      </c>
      <c r="P47" s="65">
        <v>0</v>
      </c>
      <c r="Q47" s="1"/>
      <c r="R47" s="80"/>
    </row>
    <row r="48" spans="1:18" ht="15.75" thickBot="1">
      <c r="A48" s="60" t="s">
        <v>74</v>
      </c>
      <c r="B48" s="420" t="s">
        <v>75</v>
      </c>
      <c r="C48" s="421"/>
      <c r="D48" s="422"/>
      <c r="E48" s="156">
        <v>265000</v>
      </c>
      <c r="F48" s="31">
        <f>635000+E48</f>
        <v>900000</v>
      </c>
      <c r="G48" s="74">
        <v>283577.5</v>
      </c>
      <c r="H48" s="74"/>
      <c r="I48" s="74"/>
      <c r="J48" s="62"/>
      <c r="K48" s="33">
        <f>0+G48</f>
        <v>283577.5</v>
      </c>
      <c r="L48" s="33">
        <f>547028+K48</f>
        <v>830605.5</v>
      </c>
      <c r="M48" s="34">
        <f>E48-K48</f>
        <v>-18577.5</v>
      </c>
      <c r="N48" s="63">
        <f t="shared" si="2"/>
        <v>69394.5</v>
      </c>
      <c r="O48" s="64">
        <v>0</v>
      </c>
      <c r="P48" s="65">
        <v>0</v>
      </c>
      <c r="Q48" s="1"/>
      <c r="R48" s="37"/>
    </row>
    <row r="49" spans="1:18" ht="15.75" thickBot="1">
      <c r="A49" s="60" t="s">
        <v>76</v>
      </c>
      <c r="B49" s="420" t="s">
        <v>77</v>
      </c>
      <c r="C49" s="421"/>
      <c r="D49" s="422"/>
      <c r="E49" s="156"/>
      <c r="F49" s="31">
        <f>25200+E49</f>
        <v>25200</v>
      </c>
      <c r="G49" s="74">
        <v>4000</v>
      </c>
      <c r="H49" s="74"/>
      <c r="I49" s="74"/>
      <c r="J49" s="62"/>
      <c r="K49" s="33">
        <f t="shared" si="3"/>
        <v>4000</v>
      </c>
      <c r="L49" s="33">
        <f>689+K49</f>
        <v>4689</v>
      </c>
      <c r="M49" s="34">
        <f t="shared" si="2"/>
        <v>-4000</v>
      </c>
      <c r="N49" s="63">
        <f t="shared" si="2"/>
        <v>20511</v>
      </c>
      <c r="O49" s="64">
        <v>0</v>
      </c>
      <c r="P49" s="65">
        <v>0</v>
      </c>
      <c r="Q49" s="1"/>
      <c r="R49" s="1"/>
    </row>
    <row r="50" spans="1:18" ht="15.75" thickBot="1">
      <c r="A50" s="60" t="s">
        <v>78</v>
      </c>
      <c r="B50" s="420" t="s">
        <v>79</v>
      </c>
      <c r="C50" s="421"/>
      <c r="D50" s="422"/>
      <c r="E50" s="74"/>
      <c r="F50" s="31">
        <f>0+E50</f>
        <v>0</v>
      </c>
      <c r="G50" s="74"/>
      <c r="H50" s="74"/>
      <c r="I50" s="74"/>
      <c r="J50" s="62"/>
      <c r="K50" s="33">
        <f t="shared" si="3"/>
        <v>0</v>
      </c>
      <c r="L50" s="33">
        <f aca="true" t="shared" si="4" ref="L50:L57">0+K50</f>
        <v>0</v>
      </c>
      <c r="M50" s="34">
        <f t="shared" si="2"/>
        <v>0</v>
      </c>
      <c r="N50" s="63">
        <f t="shared" si="2"/>
        <v>0</v>
      </c>
      <c r="O50" s="64">
        <v>0</v>
      </c>
      <c r="P50" s="65">
        <v>0</v>
      </c>
      <c r="Q50" s="1"/>
      <c r="R50" s="1"/>
    </row>
    <row r="51" spans="1:18" ht="45" customHeight="1" thickBot="1">
      <c r="A51" s="51" t="s">
        <v>80</v>
      </c>
      <c r="B51" s="423" t="s">
        <v>81</v>
      </c>
      <c r="C51" s="424"/>
      <c r="D51" s="425"/>
      <c r="E51" s="55">
        <v>0</v>
      </c>
      <c r="F51" s="55">
        <v>0</v>
      </c>
      <c r="G51" s="55"/>
      <c r="H51" s="55"/>
      <c r="I51" s="55"/>
      <c r="J51" s="54"/>
      <c r="K51" s="55">
        <f t="shared" si="3"/>
        <v>0</v>
      </c>
      <c r="L51" s="55">
        <f t="shared" si="4"/>
        <v>0</v>
      </c>
      <c r="M51" s="56">
        <f t="shared" si="2"/>
        <v>0</v>
      </c>
      <c r="N51" s="57">
        <f t="shared" si="2"/>
        <v>0</v>
      </c>
      <c r="O51" s="58">
        <v>0</v>
      </c>
      <c r="P51" s="59">
        <v>0</v>
      </c>
      <c r="Q51" s="1"/>
      <c r="R51" s="1"/>
    </row>
    <row r="52" spans="1:18" ht="15.75" thickBot="1">
      <c r="A52" s="60" t="s">
        <v>82</v>
      </c>
      <c r="B52" s="405" t="s">
        <v>53</v>
      </c>
      <c r="C52" s="406"/>
      <c r="D52" s="407"/>
      <c r="E52" s="33"/>
      <c r="F52" s="33"/>
      <c r="G52" s="33"/>
      <c r="H52" s="33"/>
      <c r="I52" s="33"/>
      <c r="J52" s="62"/>
      <c r="K52" s="33">
        <f t="shared" si="3"/>
        <v>0</v>
      </c>
      <c r="L52" s="33">
        <f t="shared" si="4"/>
        <v>0</v>
      </c>
      <c r="M52" s="34">
        <f t="shared" si="2"/>
        <v>0</v>
      </c>
      <c r="N52" s="63">
        <f t="shared" si="2"/>
        <v>0</v>
      </c>
      <c r="O52" s="64">
        <v>0</v>
      </c>
      <c r="P52" s="65">
        <v>0</v>
      </c>
      <c r="Q52" s="1"/>
      <c r="R52" s="1"/>
    </row>
    <row r="53" spans="1:18" ht="23.25" customHeight="1" thickBot="1">
      <c r="A53" s="60" t="s">
        <v>83</v>
      </c>
      <c r="B53" s="457" t="s">
        <v>55</v>
      </c>
      <c r="C53" s="458"/>
      <c r="D53" s="459"/>
      <c r="E53" s="33"/>
      <c r="F53" s="33"/>
      <c r="G53" s="33"/>
      <c r="H53" s="33"/>
      <c r="I53" s="33"/>
      <c r="J53" s="62"/>
      <c r="K53" s="33">
        <f t="shared" si="3"/>
        <v>0</v>
      </c>
      <c r="L53" s="33">
        <f t="shared" si="4"/>
        <v>0</v>
      </c>
      <c r="M53" s="34">
        <f t="shared" si="2"/>
        <v>0</v>
      </c>
      <c r="N53" s="63">
        <f t="shared" si="2"/>
        <v>0</v>
      </c>
      <c r="O53" s="64">
        <v>0</v>
      </c>
      <c r="P53" s="65">
        <v>0</v>
      </c>
      <c r="Q53" s="1"/>
      <c r="R53" s="1"/>
    </row>
    <row r="54" spans="1:18" ht="48.75" customHeight="1" thickBot="1">
      <c r="A54" s="51" t="s">
        <v>84</v>
      </c>
      <c r="B54" s="408" t="s">
        <v>85</v>
      </c>
      <c r="C54" s="409"/>
      <c r="D54" s="410"/>
      <c r="E54" s="53">
        <f>SUM(E59:E63)</f>
        <v>190200</v>
      </c>
      <c r="F54" s="73">
        <f>F55+F58</f>
        <v>1229100</v>
      </c>
      <c r="G54" s="55">
        <f>G55+G56+G57+G58</f>
        <v>441207.89999999997</v>
      </c>
      <c r="H54" s="55"/>
      <c r="I54" s="55"/>
      <c r="J54" s="55">
        <f>J55+J56+J57+J58</f>
        <v>6398.75</v>
      </c>
      <c r="K54" s="55">
        <f>K55+K56+K57</f>
        <v>441207.89999999997</v>
      </c>
      <c r="L54" s="55">
        <f>L55+L56+L57+L58</f>
        <v>1263891.5</v>
      </c>
      <c r="M54" s="56">
        <f t="shared" si="2"/>
        <v>-251007.89999999997</v>
      </c>
      <c r="N54" s="70">
        <f t="shared" si="2"/>
        <v>-34791.5</v>
      </c>
      <c r="O54" s="58">
        <v>0</v>
      </c>
      <c r="P54" s="59">
        <v>0</v>
      </c>
      <c r="Q54" s="1"/>
      <c r="R54" s="37"/>
    </row>
    <row r="55" spans="1:18" ht="15.75" thickBot="1">
      <c r="A55" s="60" t="s">
        <v>86</v>
      </c>
      <c r="B55" s="405" t="s">
        <v>53</v>
      </c>
      <c r="C55" s="406"/>
      <c r="D55" s="407"/>
      <c r="E55" s="81">
        <f>E59+E60+E62+E63-E58</f>
        <v>180700</v>
      </c>
      <c r="F55" s="31">
        <f>1010400+E55</f>
        <v>1191100</v>
      </c>
      <c r="G55" s="33">
        <f>G60+G62+G63+G59</f>
        <v>441207.89999999997</v>
      </c>
      <c r="H55" s="33"/>
      <c r="I55" s="33"/>
      <c r="J55" s="33"/>
      <c r="K55" s="33">
        <f>0+G55</f>
        <v>441207.89999999997</v>
      </c>
      <c r="L55" s="33">
        <f>816284.85+K55</f>
        <v>1257492.75</v>
      </c>
      <c r="M55" s="34">
        <f t="shared" si="2"/>
        <v>-260507.89999999997</v>
      </c>
      <c r="N55" s="63">
        <f t="shared" si="2"/>
        <v>-66392.75</v>
      </c>
      <c r="O55" s="64">
        <v>0</v>
      </c>
      <c r="P55" s="65">
        <v>0</v>
      </c>
      <c r="Q55" s="1"/>
      <c r="R55" s="37"/>
    </row>
    <row r="56" spans="1:18" ht="15.75" thickBot="1">
      <c r="A56" s="60" t="s">
        <v>87</v>
      </c>
      <c r="B56" s="411" t="s">
        <v>88</v>
      </c>
      <c r="C56" s="412"/>
      <c r="D56" s="413"/>
      <c r="E56" s="61"/>
      <c r="F56" s="31"/>
      <c r="G56" s="33"/>
      <c r="H56" s="33"/>
      <c r="I56" s="33"/>
      <c r="J56" s="33"/>
      <c r="K56" s="33">
        <f aca="true" t="shared" si="5" ref="K56:K61">0+G56</f>
        <v>0</v>
      </c>
      <c r="L56" s="33">
        <f t="shared" si="4"/>
        <v>0</v>
      </c>
      <c r="M56" s="34">
        <f aca="true" t="shared" si="6" ref="M56:N71">E56-K56</f>
        <v>0</v>
      </c>
      <c r="N56" s="63">
        <f t="shared" si="6"/>
        <v>0</v>
      </c>
      <c r="O56" s="64">
        <v>0</v>
      </c>
      <c r="P56" s="65">
        <v>0</v>
      </c>
      <c r="Q56" s="1"/>
      <c r="R56" s="37"/>
    </row>
    <row r="57" spans="1:18" ht="15.75" thickBot="1">
      <c r="A57" s="60" t="s">
        <v>89</v>
      </c>
      <c r="B57" s="435" t="s">
        <v>55</v>
      </c>
      <c r="C57" s="436"/>
      <c r="D57" s="436"/>
      <c r="E57" s="82"/>
      <c r="F57" s="31"/>
      <c r="G57" s="33"/>
      <c r="H57" s="33"/>
      <c r="I57" s="33"/>
      <c r="J57" s="33"/>
      <c r="K57" s="33">
        <f t="shared" si="5"/>
        <v>0</v>
      </c>
      <c r="L57" s="33">
        <f t="shared" si="4"/>
        <v>0</v>
      </c>
      <c r="M57" s="34">
        <f t="shared" si="6"/>
        <v>0</v>
      </c>
      <c r="N57" s="63">
        <f t="shared" si="6"/>
        <v>0</v>
      </c>
      <c r="O57" s="64">
        <v>0</v>
      </c>
      <c r="P57" s="65">
        <v>0</v>
      </c>
      <c r="Q57" s="1"/>
      <c r="R57" s="37"/>
    </row>
    <row r="58" spans="1:18" ht="15.75" thickBot="1">
      <c r="A58" s="60" t="s">
        <v>90</v>
      </c>
      <c r="B58" s="383" t="s">
        <v>40</v>
      </c>
      <c r="C58" s="384"/>
      <c r="D58" s="385"/>
      <c r="E58" s="155">
        <v>9500</v>
      </c>
      <c r="F58" s="31">
        <f>28500+E58</f>
        <v>38000</v>
      </c>
      <c r="G58" s="33"/>
      <c r="H58" s="33"/>
      <c r="I58" s="33"/>
      <c r="J58" s="33">
        <f>J62+J63+J59</f>
        <v>6398.75</v>
      </c>
      <c r="K58" s="33">
        <f>0+J58</f>
        <v>6398.75</v>
      </c>
      <c r="L58" s="33">
        <f>0+K58</f>
        <v>6398.75</v>
      </c>
      <c r="M58" s="34">
        <f t="shared" si="6"/>
        <v>3101.25</v>
      </c>
      <c r="N58" s="63">
        <f t="shared" si="6"/>
        <v>31601.25</v>
      </c>
      <c r="O58" s="64">
        <v>0</v>
      </c>
      <c r="P58" s="65">
        <v>0</v>
      </c>
      <c r="Q58" s="1"/>
      <c r="R58" s="37"/>
    </row>
    <row r="59" spans="1:18" ht="25.5" customHeight="1" thickBot="1">
      <c r="A59" s="60" t="s">
        <v>91</v>
      </c>
      <c r="B59" s="437" t="s">
        <v>92</v>
      </c>
      <c r="C59" s="438"/>
      <c r="D59" s="439"/>
      <c r="E59" s="156">
        <v>60000</v>
      </c>
      <c r="F59" s="31">
        <f>260000+E59</f>
        <v>320000</v>
      </c>
      <c r="G59" s="74">
        <v>21551.55</v>
      </c>
      <c r="H59" s="74"/>
      <c r="I59" s="74"/>
      <c r="J59" s="33">
        <v>6398.75</v>
      </c>
      <c r="K59" s="33">
        <f>J59+G59</f>
        <v>27950.3</v>
      </c>
      <c r="L59" s="33">
        <f>314097.28+K59</f>
        <v>342047.58</v>
      </c>
      <c r="M59" s="34">
        <f t="shared" si="6"/>
        <v>32049.7</v>
      </c>
      <c r="N59" s="35">
        <f t="shared" si="6"/>
        <v>-22047.580000000016</v>
      </c>
      <c r="O59" s="64">
        <v>0</v>
      </c>
      <c r="P59" s="65">
        <v>0</v>
      </c>
      <c r="Q59" s="1"/>
      <c r="R59" s="80"/>
    </row>
    <row r="60" spans="1:18" ht="15.75" thickBot="1">
      <c r="A60" s="60" t="s">
        <v>93</v>
      </c>
      <c r="B60" s="426" t="s">
        <v>94</v>
      </c>
      <c r="C60" s="427"/>
      <c r="D60" s="427"/>
      <c r="E60" s="152">
        <v>120000</v>
      </c>
      <c r="F60" s="31">
        <f>750000+E60</f>
        <v>870000</v>
      </c>
      <c r="G60" s="74">
        <v>409544.41</v>
      </c>
      <c r="H60" s="74"/>
      <c r="I60" s="74"/>
      <c r="J60" s="33"/>
      <c r="K60" s="33">
        <f>0+G60</f>
        <v>409544.41</v>
      </c>
      <c r="L60" s="33">
        <f>472905.08+K60</f>
        <v>882449.49</v>
      </c>
      <c r="M60" s="34">
        <f t="shared" si="6"/>
        <v>-289544.41</v>
      </c>
      <c r="N60" s="63">
        <f t="shared" si="6"/>
        <v>-12449.48999999999</v>
      </c>
      <c r="O60" s="64">
        <v>0</v>
      </c>
      <c r="P60" s="65">
        <v>0</v>
      </c>
      <c r="Q60" s="1"/>
      <c r="R60" s="37"/>
    </row>
    <row r="61" spans="1:18" ht="15.75" thickBot="1">
      <c r="A61" s="60" t="s">
        <v>93</v>
      </c>
      <c r="B61" s="440" t="s">
        <v>95</v>
      </c>
      <c r="C61" s="441"/>
      <c r="D61" s="442"/>
      <c r="E61" s="152"/>
      <c r="F61" s="31"/>
      <c r="G61" s="74"/>
      <c r="H61" s="74"/>
      <c r="I61" s="74"/>
      <c r="J61" s="33"/>
      <c r="K61" s="33">
        <f t="shared" si="5"/>
        <v>0</v>
      </c>
      <c r="L61" s="33">
        <f>0+K61</f>
        <v>0</v>
      </c>
      <c r="M61" s="34">
        <f t="shared" si="6"/>
        <v>0</v>
      </c>
      <c r="N61" s="63">
        <f t="shared" si="6"/>
        <v>0</v>
      </c>
      <c r="O61" s="64">
        <v>0</v>
      </c>
      <c r="P61" s="65">
        <v>0</v>
      </c>
      <c r="Q61" s="1"/>
      <c r="R61" s="1"/>
    </row>
    <row r="62" spans="1:18" ht="15.75" thickBot="1">
      <c r="A62" s="60" t="s">
        <v>96</v>
      </c>
      <c r="B62" s="426" t="s">
        <v>97</v>
      </c>
      <c r="C62" s="427"/>
      <c r="D62" s="428"/>
      <c r="E62" s="152">
        <v>5400</v>
      </c>
      <c r="F62" s="31">
        <f>15300+E62</f>
        <v>20700</v>
      </c>
      <c r="G62" s="83">
        <v>5400.06</v>
      </c>
      <c r="H62" s="84"/>
      <c r="I62" s="74"/>
      <c r="J62" s="74"/>
      <c r="K62" s="33">
        <f>0+J62+G62</f>
        <v>5400.06</v>
      </c>
      <c r="L62" s="33">
        <f>15637.67+K62</f>
        <v>21037.73</v>
      </c>
      <c r="M62" s="34">
        <f t="shared" si="6"/>
        <v>-0.06000000000040018</v>
      </c>
      <c r="N62" s="63">
        <f t="shared" si="6"/>
        <v>-337.72999999999956</v>
      </c>
      <c r="O62" s="64">
        <v>0</v>
      </c>
      <c r="P62" s="65">
        <v>0</v>
      </c>
      <c r="Q62" s="1"/>
      <c r="R62" s="1"/>
    </row>
    <row r="63" spans="1:18" ht="15.75" thickBot="1">
      <c r="A63" s="60" t="s">
        <v>98</v>
      </c>
      <c r="B63" s="426" t="s">
        <v>99</v>
      </c>
      <c r="C63" s="427"/>
      <c r="D63" s="428"/>
      <c r="E63" s="152">
        <v>4800</v>
      </c>
      <c r="F63" s="31">
        <f>13600+E63</f>
        <v>18400</v>
      </c>
      <c r="G63" s="85">
        <v>4711.88</v>
      </c>
      <c r="H63" s="74"/>
      <c r="I63" s="74"/>
      <c r="J63" s="74"/>
      <c r="K63" s="33">
        <f>0+J63+G63</f>
        <v>4711.88</v>
      </c>
      <c r="L63" s="33">
        <f>13644.82+K63</f>
        <v>18356.7</v>
      </c>
      <c r="M63" s="34">
        <f t="shared" si="6"/>
        <v>88.11999999999989</v>
      </c>
      <c r="N63" s="63">
        <f t="shared" si="6"/>
        <v>43.29999999999927</v>
      </c>
      <c r="O63" s="64">
        <v>0</v>
      </c>
      <c r="P63" s="65">
        <v>0</v>
      </c>
      <c r="Q63" s="1"/>
      <c r="R63" s="1"/>
    </row>
    <row r="64" spans="1:18" ht="33.75" customHeight="1" thickBot="1">
      <c r="A64" s="86" t="s">
        <v>100</v>
      </c>
      <c r="B64" s="429" t="s">
        <v>101</v>
      </c>
      <c r="C64" s="430"/>
      <c r="D64" s="431"/>
      <c r="E64" s="53">
        <f>E65</f>
        <v>0</v>
      </c>
      <c r="F64" s="73">
        <f>F65+F66</f>
        <v>48500</v>
      </c>
      <c r="G64" s="75">
        <f>G65+G66</f>
        <v>0</v>
      </c>
      <c r="H64" s="55"/>
      <c r="I64" s="55">
        <f>I66</f>
        <v>0</v>
      </c>
      <c r="J64" s="55">
        <f>J65+J66</f>
        <v>0</v>
      </c>
      <c r="K64" s="55">
        <f>K65+K66</f>
        <v>0</v>
      </c>
      <c r="L64" s="55">
        <f>L65+L66</f>
        <v>37500</v>
      </c>
      <c r="M64" s="56">
        <f t="shared" si="6"/>
        <v>0</v>
      </c>
      <c r="N64" s="70">
        <f t="shared" si="6"/>
        <v>11000</v>
      </c>
      <c r="O64" s="58">
        <v>0</v>
      </c>
      <c r="P64" s="59">
        <v>0</v>
      </c>
      <c r="Q64" s="1"/>
      <c r="R64" s="1"/>
    </row>
    <row r="65" spans="1:18" ht="15.75" thickBot="1">
      <c r="A65" s="60" t="s">
        <v>102</v>
      </c>
      <c r="B65" s="457" t="s">
        <v>53</v>
      </c>
      <c r="C65" s="458"/>
      <c r="D65" s="459"/>
      <c r="E65" s="45"/>
      <c r="F65" s="31">
        <f>48500+E65</f>
        <v>48500</v>
      </c>
      <c r="G65" s="74"/>
      <c r="H65" s="33"/>
      <c r="I65" s="33"/>
      <c r="J65" s="33"/>
      <c r="K65" s="33">
        <f>0+G65</f>
        <v>0</v>
      </c>
      <c r="L65" s="33">
        <f>37500+K65</f>
        <v>37500</v>
      </c>
      <c r="M65" s="34">
        <f t="shared" si="6"/>
        <v>0</v>
      </c>
      <c r="N65" s="35">
        <f t="shared" si="6"/>
        <v>11000</v>
      </c>
      <c r="O65" s="64">
        <v>0</v>
      </c>
      <c r="P65" s="65">
        <v>0</v>
      </c>
      <c r="Q65" s="1"/>
      <c r="R65" s="1"/>
    </row>
    <row r="66" spans="1:18" ht="15.75" thickBot="1">
      <c r="A66" s="60" t="s">
        <v>103</v>
      </c>
      <c r="B66" s="435" t="s">
        <v>104</v>
      </c>
      <c r="C66" s="436"/>
      <c r="D66" s="490"/>
      <c r="E66" s="45"/>
      <c r="F66" s="31"/>
      <c r="G66" s="74"/>
      <c r="H66" s="33"/>
      <c r="I66" s="33"/>
      <c r="J66" s="33"/>
      <c r="K66" s="33">
        <f>0+I66</f>
        <v>0</v>
      </c>
      <c r="L66" s="33">
        <f>0+K66</f>
        <v>0</v>
      </c>
      <c r="M66" s="34">
        <f t="shared" si="6"/>
        <v>0</v>
      </c>
      <c r="N66" s="35">
        <f t="shared" si="6"/>
        <v>0</v>
      </c>
      <c r="O66" s="64">
        <v>0</v>
      </c>
      <c r="P66" s="65">
        <v>0</v>
      </c>
      <c r="Q66" s="1"/>
      <c r="R66" s="1"/>
    </row>
    <row r="67" spans="1:18" ht="38.25" customHeight="1" thickBot="1">
      <c r="A67" s="69" t="s">
        <v>105</v>
      </c>
      <c r="B67" s="432" t="s">
        <v>215</v>
      </c>
      <c r="C67" s="433"/>
      <c r="D67" s="434"/>
      <c r="E67" s="53">
        <f>E68</f>
        <v>0</v>
      </c>
      <c r="F67" s="73">
        <f>F68+F69+F70</f>
        <v>100000</v>
      </c>
      <c r="G67" s="75">
        <f>G68+G69</f>
        <v>0</v>
      </c>
      <c r="H67" s="55"/>
      <c r="I67" s="55"/>
      <c r="J67" s="55"/>
      <c r="K67" s="55">
        <f>K68+K69+K70</f>
        <v>0</v>
      </c>
      <c r="L67" s="55">
        <f>0+K67</f>
        <v>0</v>
      </c>
      <c r="M67" s="56">
        <f t="shared" si="6"/>
        <v>0</v>
      </c>
      <c r="N67" s="70">
        <f t="shared" si="6"/>
        <v>100000</v>
      </c>
      <c r="O67" s="58">
        <v>0</v>
      </c>
      <c r="P67" s="59">
        <v>0</v>
      </c>
      <c r="Q67" s="1"/>
      <c r="R67" s="37"/>
    </row>
    <row r="68" spans="1:18" ht="15.75" thickBot="1">
      <c r="A68" s="60" t="s">
        <v>107</v>
      </c>
      <c r="B68" s="446" t="s">
        <v>53</v>
      </c>
      <c r="C68" s="447"/>
      <c r="D68" s="448"/>
      <c r="E68" s="61"/>
      <c r="F68" s="31">
        <f>100000+E68</f>
        <v>100000</v>
      </c>
      <c r="G68" s="74"/>
      <c r="H68" s="33"/>
      <c r="I68" s="33"/>
      <c r="J68" s="33"/>
      <c r="K68" s="33">
        <f>G68</f>
        <v>0</v>
      </c>
      <c r="L68" s="33">
        <f>0+K68</f>
        <v>0</v>
      </c>
      <c r="M68" s="34">
        <f>E68-K68</f>
        <v>0</v>
      </c>
      <c r="N68" s="35">
        <f t="shared" si="6"/>
        <v>100000</v>
      </c>
      <c r="O68" s="64">
        <v>0</v>
      </c>
      <c r="P68" s="65">
        <v>0</v>
      </c>
      <c r="Q68" s="1"/>
      <c r="R68" s="37"/>
    </row>
    <row r="69" spans="1:18" ht="15.75" thickBot="1">
      <c r="A69" s="60" t="s">
        <v>108</v>
      </c>
      <c r="B69" s="435" t="s">
        <v>104</v>
      </c>
      <c r="C69" s="436"/>
      <c r="D69" s="490"/>
      <c r="E69" s="61"/>
      <c r="F69" s="31"/>
      <c r="G69" s="74"/>
      <c r="H69" s="33"/>
      <c r="I69" s="33"/>
      <c r="J69" s="33"/>
      <c r="K69" s="33">
        <f>G69</f>
        <v>0</v>
      </c>
      <c r="L69" s="33">
        <f>0+K69</f>
        <v>0</v>
      </c>
      <c r="M69" s="34">
        <f t="shared" si="6"/>
        <v>0</v>
      </c>
      <c r="N69" s="35">
        <f t="shared" si="6"/>
        <v>0</v>
      </c>
      <c r="O69" s="64">
        <v>0</v>
      </c>
      <c r="P69" s="65">
        <v>0</v>
      </c>
      <c r="Q69" s="1"/>
      <c r="R69" s="37"/>
    </row>
    <row r="70" spans="1:18" ht="15.75" thickBot="1">
      <c r="A70" s="60" t="s">
        <v>109</v>
      </c>
      <c r="B70" s="446" t="s">
        <v>55</v>
      </c>
      <c r="C70" s="447"/>
      <c r="D70" s="448"/>
      <c r="E70" s="81"/>
      <c r="F70" s="31"/>
      <c r="G70" s="74"/>
      <c r="H70" s="33"/>
      <c r="I70" s="33"/>
      <c r="J70" s="33"/>
      <c r="K70" s="33">
        <f>0+J70</f>
        <v>0</v>
      </c>
      <c r="L70" s="33">
        <f>0+K70</f>
        <v>0</v>
      </c>
      <c r="M70" s="34">
        <f t="shared" si="6"/>
        <v>0</v>
      </c>
      <c r="N70" s="35">
        <f t="shared" si="6"/>
        <v>0</v>
      </c>
      <c r="O70" s="64">
        <v>0</v>
      </c>
      <c r="P70" s="65">
        <v>0</v>
      </c>
      <c r="Q70" s="1"/>
      <c r="R70" s="37"/>
    </row>
    <row r="71" spans="1:18" ht="30" customHeight="1" thickBot="1">
      <c r="A71" s="87" t="s">
        <v>110</v>
      </c>
      <c r="B71" s="443" t="s">
        <v>111</v>
      </c>
      <c r="C71" s="444"/>
      <c r="D71" s="445"/>
      <c r="E71" s="53">
        <f>E72+E73</f>
        <v>3300</v>
      </c>
      <c r="F71" s="73">
        <f>F72</f>
        <v>13200</v>
      </c>
      <c r="G71" s="75">
        <f>G72+G73</f>
        <v>12831</v>
      </c>
      <c r="H71" s="55"/>
      <c r="I71" s="55"/>
      <c r="J71" s="55"/>
      <c r="K71" s="55">
        <f>G71</f>
        <v>12831</v>
      </c>
      <c r="L71" s="55">
        <f>L72</f>
        <v>15469</v>
      </c>
      <c r="M71" s="56">
        <f t="shared" si="6"/>
        <v>-9531</v>
      </c>
      <c r="N71" s="70">
        <f t="shared" si="6"/>
        <v>-2269</v>
      </c>
      <c r="O71" s="58">
        <v>0</v>
      </c>
      <c r="P71" s="59">
        <v>0</v>
      </c>
      <c r="Q71" s="1"/>
      <c r="R71" s="1"/>
    </row>
    <row r="72" spans="1:18" ht="15.75" thickBot="1">
      <c r="A72" s="60" t="s">
        <v>107</v>
      </c>
      <c r="B72" s="405" t="s">
        <v>53</v>
      </c>
      <c r="C72" s="406"/>
      <c r="D72" s="407"/>
      <c r="E72" s="61">
        <v>3300</v>
      </c>
      <c r="F72" s="31">
        <f>9900+E72</f>
        <v>13200</v>
      </c>
      <c r="G72" s="74">
        <v>12831</v>
      </c>
      <c r="H72" s="33"/>
      <c r="I72" s="33"/>
      <c r="J72" s="33"/>
      <c r="K72" s="33">
        <f>G72</f>
        <v>12831</v>
      </c>
      <c r="L72" s="33">
        <f>2638+K72</f>
        <v>15469</v>
      </c>
      <c r="M72" s="34">
        <f aca="true" t="shared" si="7" ref="M72:N82">E72-K72</f>
        <v>-9531</v>
      </c>
      <c r="N72" s="35">
        <f t="shared" si="7"/>
        <v>-2269</v>
      </c>
      <c r="O72" s="64">
        <v>0</v>
      </c>
      <c r="P72" s="65">
        <v>0</v>
      </c>
      <c r="Q72" s="1"/>
      <c r="R72" s="1"/>
    </row>
    <row r="73" spans="1:18" ht="15.75" thickBot="1">
      <c r="A73" s="60" t="s">
        <v>109</v>
      </c>
      <c r="B73" s="405" t="s">
        <v>55</v>
      </c>
      <c r="C73" s="406"/>
      <c r="D73" s="407"/>
      <c r="E73" s="81"/>
      <c r="F73" s="31"/>
      <c r="G73" s="74"/>
      <c r="H73" s="33"/>
      <c r="I73" s="33"/>
      <c r="J73" s="33"/>
      <c r="K73" s="33">
        <f>0+J73</f>
        <v>0</v>
      </c>
      <c r="L73" s="33">
        <f>0+K73</f>
        <v>0</v>
      </c>
      <c r="M73" s="34">
        <f t="shared" si="7"/>
        <v>0</v>
      </c>
      <c r="N73" s="35">
        <f t="shared" si="7"/>
        <v>0</v>
      </c>
      <c r="O73" s="64">
        <v>0</v>
      </c>
      <c r="P73" s="65">
        <v>0</v>
      </c>
      <c r="Q73" s="1"/>
      <c r="R73" s="1"/>
    </row>
    <row r="74" spans="1:18" ht="50.25" customHeight="1" thickBot="1">
      <c r="A74" s="87" t="s">
        <v>112</v>
      </c>
      <c r="B74" s="443" t="s">
        <v>113</v>
      </c>
      <c r="C74" s="444"/>
      <c r="D74" s="445"/>
      <c r="E74" s="53">
        <f>E75</f>
        <v>100000</v>
      </c>
      <c r="F74" s="73">
        <f>F75+F76</f>
        <v>147000</v>
      </c>
      <c r="G74" s="75">
        <f>G75+G76+G77</f>
        <v>49625</v>
      </c>
      <c r="H74" s="55"/>
      <c r="I74" s="55">
        <f>I75+I76</f>
        <v>0</v>
      </c>
      <c r="J74" s="55"/>
      <c r="K74" s="55">
        <f>K75+K76+K77</f>
        <v>49625</v>
      </c>
      <c r="L74" s="55">
        <f>L75+L76+L77</f>
        <v>91084.29000000001</v>
      </c>
      <c r="M74" s="56">
        <f t="shared" si="7"/>
        <v>50375</v>
      </c>
      <c r="N74" s="70">
        <f t="shared" si="7"/>
        <v>55915.70999999999</v>
      </c>
      <c r="O74" s="58">
        <v>0</v>
      </c>
      <c r="P74" s="59">
        <v>0</v>
      </c>
      <c r="Q74" s="1"/>
      <c r="R74" s="1"/>
    </row>
    <row r="75" spans="1:18" ht="15.75" thickBot="1">
      <c r="A75" s="60" t="s">
        <v>114</v>
      </c>
      <c r="B75" s="405" t="s">
        <v>53</v>
      </c>
      <c r="C75" s="406"/>
      <c r="D75" s="407"/>
      <c r="E75" s="61">
        <v>100000</v>
      </c>
      <c r="F75" s="31">
        <f>47000+E75</f>
        <v>147000</v>
      </c>
      <c r="G75" s="74">
        <v>49625</v>
      </c>
      <c r="H75" s="33"/>
      <c r="I75" s="33"/>
      <c r="J75" s="33"/>
      <c r="K75" s="33">
        <f>G75</f>
        <v>49625</v>
      </c>
      <c r="L75" s="33">
        <f>41459.29+K75</f>
        <v>91084.29000000001</v>
      </c>
      <c r="M75" s="34">
        <f>E75-K75</f>
        <v>50375</v>
      </c>
      <c r="N75" s="35">
        <f t="shared" si="7"/>
        <v>55915.70999999999</v>
      </c>
      <c r="O75" s="64">
        <v>0</v>
      </c>
      <c r="P75" s="65">
        <v>0</v>
      </c>
      <c r="Q75" s="1"/>
      <c r="R75" s="1"/>
    </row>
    <row r="76" spans="1:18" ht="15.75" thickBot="1">
      <c r="A76" s="60" t="s">
        <v>115</v>
      </c>
      <c r="B76" s="435" t="s">
        <v>104</v>
      </c>
      <c r="C76" s="436"/>
      <c r="D76" s="490"/>
      <c r="E76" s="81"/>
      <c r="F76" s="31"/>
      <c r="G76" s="74"/>
      <c r="H76" s="33"/>
      <c r="I76" s="33"/>
      <c r="J76" s="33"/>
      <c r="K76" s="33">
        <f>I76</f>
        <v>0</v>
      </c>
      <c r="L76" s="33">
        <f>0+K76</f>
        <v>0</v>
      </c>
      <c r="M76" s="34">
        <f t="shared" si="7"/>
        <v>0</v>
      </c>
      <c r="N76" s="35">
        <f t="shared" si="7"/>
        <v>0</v>
      </c>
      <c r="O76" s="64">
        <v>0</v>
      </c>
      <c r="P76" s="65">
        <v>0</v>
      </c>
      <c r="Q76" s="1"/>
      <c r="R76" s="1"/>
    </row>
    <row r="77" spans="1:18" ht="15.75" thickBot="1">
      <c r="A77" s="60" t="s">
        <v>116</v>
      </c>
      <c r="B77" s="405" t="s">
        <v>55</v>
      </c>
      <c r="C77" s="406"/>
      <c r="D77" s="407"/>
      <c r="E77" s="61"/>
      <c r="F77" s="31"/>
      <c r="G77" s="74"/>
      <c r="H77" s="33"/>
      <c r="I77" s="33"/>
      <c r="J77" s="33"/>
      <c r="K77" s="33">
        <f>0+J77</f>
        <v>0</v>
      </c>
      <c r="L77" s="33">
        <f>0+K77</f>
        <v>0</v>
      </c>
      <c r="M77" s="34">
        <f t="shared" si="7"/>
        <v>0</v>
      </c>
      <c r="N77" s="35">
        <f t="shared" si="7"/>
        <v>0</v>
      </c>
      <c r="O77" s="64">
        <v>0</v>
      </c>
      <c r="P77" s="65">
        <v>0</v>
      </c>
      <c r="Q77" s="1"/>
      <c r="R77" s="1"/>
    </row>
    <row r="78" spans="1:18" ht="55.5" customHeight="1" thickBot="1">
      <c r="A78" s="69" t="s">
        <v>117</v>
      </c>
      <c r="B78" s="408" t="s">
        <v>118</v>
      </c>
      <c r="C78" s="409"/>
      <c r="D78" s="410"/>
      <c r="E78" s="53">
        <f>E79</f>
        <v>1000</v>
      </c>
      <c r="F78" s="73">
        <f>F79</f>
        <v>2000</v>
      </c>
      <c r="G78" s="75">
        <f>G79</f>
        <v>905</v>
      </c>
      <c r="H78" s="55"/>
      <c r="I78" s="55"/>
      <c r="J78" s="55"/>
      <c r="K78" s="55">
        <f>0+J78+G78</f>
        <v>905</v>
      </c>
      <c r="L78" s="55">
        <f>L79</f>
        <v>1973.5</v>
      </c>
      <c r="M78" s="56">
        <f t="shared" si="7"/>
        <v>95</v>
      </c>
      <c r="N78" s="70">
        <f t="shared" si="7"/>
        <v>26.5</v>
      </c>
      <c r="O78" s="58">
        <v>0</v>
      </c>
      <c r="P78" s="59">
        <v>0</v>
      </c>
      <c r="Q78" s="1"/>
      <c r="R78" s="1"/>
    </row>
    <row r="79" spans="1:18" ht="15.75" thickBot="1">
      <c r="A79" s="60" t="s">
        <v>119</v>
      </c>
      <c r="B79" s="405" t="s">
        <v>53</v>
      </c>
      <c r="C79" s="406"/>
      <c r="D79" s="407"/>
      <c r="E79" s="81">
        <v>1000</v>
      </c>
      <c r="F79" s="31">
        <f>1000+E79</f>
        <v>2000</v>
      </c>
      <c r="G79" s="74">
        <v>905</v>
      </c>
      <c r="H79" s="33"/>
      <c r="I79" s="33"/>
      <c r="J79" s="33"/>
      <c r="K79" s="33">
        <f>0+J79+G79</f>
        <v>905</v>
      </c>
      <c r="L79" s="33">
        <f>1068.5+K79</f>
        <v>1973.5</v>
      </c>
      <c r="M79" s="34">
        <f>E79-K79</f>
        <v>95</v>
      </c>
      <c r="N79" s="35">
        <f t="shared" si="7"/>
        <v>26.5</v>
      </c>
      <c r="O79" s="64">
        <v>0</v>
      </c>
      <c r="P79" s="65">
        <v>0</v>
      </c>
      <c r="Q79" s="1"/>
      <c r="R79" s="1"/>
    </row>
    <row r="80" spans="1:18" ht="34.5" customHeight="1" thickBot="1">
      <c r="A80" s="69" t="s">
        <v>120</v>
      </c>
      <c r="B80" s="408" t="s">
        <v>121</v>
      </c>
      <c r="C80" s="409"/>
      <c r="D80" s="410"/>
      <c r="E80" s="53">
        <f>E81</f>
        <v>0</v>
      </c>
      <c r="F80" s="73">
        <f>F81</f>
        <v>18500</v>
      </c>
      <c r="G80" s="75">
        <f>G81+G82</f>
        <v>0</v>
      </c>
      <c r="H80" s="55"/>
      <c r="I80" s="55"/>
      <c r="J80" s="55"/>
      <c r="K80" s="55">
        <f>0+J80+G80</f>
        <v>0</v>
      </c>
      <c r="L80" s="55">
        <f>0+K80</f>
        <v>0</v>
      </c>
      <c r="M80" s="56">
        <f t="shared" si="7"/>
        <v>0</v>
      </c>
      <c r="N80" s="70">
        <f t="shared" si="7"/>
        <v>18500</v>
      </c>
      <c r="O80" s="58">
        <v>0</v>
      </c>
      <c r="P80" s="59">
        <v>0</v>
      </c>
      <c r="Q80" s="1"/>
      <c r="R80" s="1"/>
    </row>
    <row r="81" spans="1:18" ht="15.75" thickBot="1">
      <c r="A81" s="60" t="s">
        <v>122</v>
      </c>
      <c r="B81" s="435" t="s">
        <v>53</v>
      </c>
      <c r="C81" s="436"/>
      <c r="D81" s="490"/>
      <c r="E81" s="81">
        <v>0</v>
      </c>
      <c r="F81" s="31">
        <f>18500+E81</f>
        <v>18500</v>
      </c>
      <c r="G81" s="89"/>
      <c r="H81" s="90"/>
      <c r="I81" s="91"/>
      <c r="J81" s="90"/>
      <c r="K81" s="33">
        <f>0+J81+G81</f>
        <v>0</v>
      </c>
      <c r="L81" s="33">
        <f>0+K81</f>
        <v>0</v>
      </c>
      <c r="M81" s="34">
        <f t="shared" si="7"/>
        <v>0</v>
      </c>
      <c r="N81" s="35">
        <f t="shared" si="7"/>
        <v>18500</v>
      </c>
      <c r="O81" s="64">
        <v>0</v>
      </c>
      <c r="P81" s="65">
        <v>0</v>
      </c>
      <c r="Q81" s="1"/>
      <c r="R81" s="1"/>
    </row>
    <row r="82" spans="1:18" ht="15.75" thickBot="1">
      <c r="A82" s="60" t="s">
        <v>123</v>
      </c>
      <c r="B82" s="435" t="s">
        <v>55</v>
      </c>
      <c r="C82" s="436"/>
      <c r="D82" s="490"/>
      <c r="E82" s="81"/>
      <c r="F82" s="33"/>
      <c r="G82" s="74"/>
      <c r="H82" s="92"/>
      <c r="I82" s="33"/>
      <c r="J82" s="92"/>
      <c r="K82" s="33">
        <f>0+J82</f>
        <v>0</v>
      </c>
      <c r="L82" s="33">
        <f>0+K82</f>
        <v>0</v>
      </c>
      <c r="M82" s="34">
        <f>E82-K82</f>
        <v>0</v>
      </c>
      <c r="N82" s="35">
        <f t="shared" si="7"/>
        <v>0</v>
      </c>
      <c r="O82" s="64">
        <v>0</v>
      </c>
      <c r="P82" s="65">
        <v>0</v>
      </c>
      <c r="Q82" s="1"/>
      <c r="R82" s="1"/>
    </row>
    <row r="83" spans="1:18" ht="15">
      <c r="A83" s="449"/>
      <c r="B83" s="451" t="s">
        <v>43</v>
      </c>
      <c r="C83" s="452"/>
      <c r="D83" s="452"/>
      <c r="E83" s="452"/>
      <c r="F83" s="452"/>
      <c r="G83" s="452"/>
      <c r="H83" s="452"/>
      <c r="I83" s="452"/>
      <c r="J83" s="452"/>
      <c r="K83" s="452"/>
      <c r="L83" s="452"/>
      <c r="M83" s="452"/>
      <c r="N83" s="452"/>
      <c r="O83" s="452"/>
      <c r="P83" s="453"/>
      <c r="Q83" s="1"/>
      <c r="R83" s="1"/>
    </row>
    <row r="84" spans="1:18" ht="15.75" thickBot="1">
      <c r="A84" s="450"/>
      <c r="B84" s="454"/>
      <c r="C84" s="455"/>
      <c r="D84" s="455"/>
      <c r="E84" s="455"/>
      <c r="F84" s="455"/>
      <c r="G84" s="455"/>
      <c r="H84" s="455"/>
      <c r="I84" s="455"/>
      <c r="J84" s="455"/>
      <c r="K84" s="455"/>
      <c r="L84" s="455"/>
      <c r="M84" s="455"/>
      <c r="N84" s="455"/>
      <c r="O84" s="455"/>
      <c r="P84" s="456"/>
      <c r="Q84" s="1"/>
      <c r="R84" s="1"/>
    </row>
    <row r="85" spans="1:18" ht="15.75" thickBot="1">
      <c r="A85" s="449"/>
      <c r="B85" s="364" t="s">
        <v>14</v>
      </c>
      <c r="C85" s="365"/>
      <c r="D85" s="366"/>
      <c r="E85" s="401" t="s">
        <v>24</v>
      </c>
      <c r="F85" s="403" t="s">
        <v>25</v>
      </c>
      <c r="G85" s="338" t="s">
        <v>44</v>
      </c>
      <c r="H85" s="321"/>
      <c r="I85" s="321"/>
      <c r="J85" s="321"/>
      <c r="K85" s="339"/>
      <c r="L85" s="340" t="s">
        <v>16</v>
      </c>
      <c r="M85" s="340" t="s">
        <v>17</v>
      </c>
      <c r="N85" s="340" t="s">
        <v>18</v>
      </c>
      <c r="O85" s="340" t="s">
        <v>19</v>
      </c>
      <c r="P85" s="340" t="s">
        <v>20</v>
      </c>
      <c r="Q85" s="1"/>
      <c r="R85" s="1"/>
    </row>
    <row r="86" spans="1:18" ht="100.5" customHeight="1" thickBot="1">
      <c r="A86" s="450"/>
      <c r="B86" s="367"/>
      <c r="C86" s="368"/>
      <c r="D86" s="369"/>
      <c r="E86" s="402"/>
      <c r="F86" s="404"/>
      <c r="G86" s="182" t="s">
        <v>45</v>
      </c>
      <c r="H86" s="182" t="s">
        <v>46</v>
      </c>
      <c r="I86" s="182" t="s">
        <v>47</v>
      </c>
      <c r="J86" s="7" t="s">
        <v>124</v>
      </c>
      <c r="K86" s="8" t="s">
        <v>27</v>
      </c>
      <c r="L86" s="341"/>
      <c r="M86" s="341"/>
      <c r="N86" s="341"/>
      <c r="O86" s="341"/>
      <c r="P86" s="341"/>
      <c r="Q86" s="1"/>
      <c r="R86" s="1"/>
    </row>
    <row r="87" spans="1:18" ht="15.75" thickBot="1">
      <c r="A87" s="60"/>
      <c r="B87" s="342">
        <v>1</v>
      </c>
      <c r="C87" s="343"/>
      <c r="D87" s="344"/>
      <c r="E87" s="17" t="s">
        <v>22</v>
      </c>
      <c r="F87" s="182">
        <v>3</v>
      </c>
      <c r="G87" s="182">
        <v>4</v>
      </c>
      <c r="H87" s="182">
        <v>5</v>
      </c>
      <c r="I87" s="7">
        <v>6</v>
      </c>
      <c r="J87" s="7">
        <v>7</v>
      </c>
      <c r="K87" s="48">
        <v>8</v>
      </c>
      <c r="L87" s="179">
        <v>9</v>
      </c>
      <c r="M87" s="7">
        <v>10</v>
      </c>
      <c r="N87" s="179">
        <v>11</v>
      </c>
      <c r="O87" s="7">
        <v>12</v>
      </c>
      <c r="P87" s="179">
        <v>13</v>
      </c>
      <c r="Q87" s="1"/>
      <c r="R87" s="1"/>
    </row>
    <row r="88" spans="1:18" ht="43.5" customHeight="1" thickBot="1">
      <c r="A88" s="51" t="s">
        <v>125</v>
      </c>
      <c r="B88" s="408" t="s">
        <v>126</v>
      </c>
      <c r="C88" s="409"/>
      <c r="D88" s="410"/>
      <c r="E88" s="53">
        <f>E89</f>
        <v>29380</v>
      </c>
      <c r="F88" s="73">
        <f>F89+F90+F91+F92</f>
        <v>125520</v>
      </c>
      <c r="G88" s="53">
        <f>G89+G90+G91+G92</f>
        <v>44249.46</v>
      </c>
      <c r="H88" s="55"/>
      <c r="I88" s="55">
        <f>I89+I90+I91</f>
        <v>0</v>
      </c>
      <c r="J88" s="55"/>
      <c r="K88" s="93">
        <f>K89+K90+K91+K92</f>
        <v>44249.46</v>
      </c>
      <c r="L88" s="55">
        <f>L89+L90+L91+L92</f>
        <v>142922.73</v>
      </c>
      <c r="M88" s="56">
        <f aca="true" t="shared" si="8" ref="M88:N103">E88-K88</f>
        <v>-14869.46</v>
      </c>
      <c r="N88" s="70">
        <f t="shared" si="8"/>
        <v>-17402.73000000001</v>
      </c>
      <c r="O88" s="58">
        <v>0</v>
      </c>
      <c r="P88" s="59">
        <v>0</v>
      </c>
      <c r="Q88" s="37"/>
      <c r="R88" s="1"/>
    </row>
    <row r="89" spans="1:18" ht="15.75" thickBot="1">
      <c r="A89" s="60" t="s">
        <v>127</v>
      </c>
      <c r="B89" s="405" t="s">
        <v>53</v>
      </c>
      <c r="C89" s="406"/>
      <c r="D89" s="407"/>
      <c r="E89" s="61">
        <f>E93+E94+E96+E97+E98+E100+E99+E95</f>
        <v>29380</v>
      </c>
      <c r="F89" s="31">
        <f>96140+E89</f>
        <v>125520</v>
      </c>
      <c r="G89" s="45">
        <f>G93+G94+G96+G97+G98+G99+G100</f>
        <v>44249.46</v>
      </c>
      <c r="H89" s="33"/>
      <c r="I89" s="33"/>
      <c r="J89" s="33"/>
      <c r="K89" s="94">
        <f>G89</f>
        <v>44249.46</v>
      </c>
      <c r="L89" s="33">
        <f>L93+L94+L96+L97+L98+L99+L100+L95</f>
        <v>142922.73</v>
      </c>
      <c r="M89" s="34">
        <f t="shared" si="8"/>
        <v>-14869.46</v>
      </c>
      <c r="N89" s="35">
        <f t="shared" si="8"/>
        <v>-17402.73000000001</v>
      </c>
      <c r="O89" s="64">
        <v>0</v>
      </c>
      <c r="P89" s="65">
        <v>0</v>
      </c>
      <c r="Q89" s="37"/>
      <c r="R89" s="1"/>
    </row>
    <row r="90" spans="1:18" ht="15.75" thickBot="1">
      <c r="A90" s="60" t="s">
        <v>128</v>
      </c>
      <c r="B90" s="457" t="s">
        <v>51</v>
      </c>
      <c r="C90" s="458"/>
      <c r="D90" s="459"/>
      <c r="E90" s="61"/>
      <c r="F90" s="31"/>
      <c r="G90" s="45"/>
      <c r="H90" s="33"/>
      <c r="I90" s="33"/>
      <c r="J90" s="33"/>
      <c r="K90" s="94">
        <f aca="true" t="shared" si="9" ref="K90:K99">G90</f>
        <v>0</v>
      </c>
      <c r="L90" s="33"/>
      <c r="M90" s="34">
        <f t="shared" si="8"/>
        <v>0</v>
      </c>
      <c r="N90" s="35">
        <f t="shared" si="8"/>
        <v>0</v>
      </c>
      <c r="O90" s="64">
        <v>0</v>
      </c>
      <c r="P90" s="65">
        <v>0</v>
      </c>
      <c r="Q90" s="37"/>
      <c r="R90" s="1"/>
    </row>
    <row r="91" spans="1:18" ht="15.75" thickBot="1">
      <c r="A91" s="60" t="s">
        <v>129</v>
      </c>
      <c r="B91" s="405" t="s">
        <v>104</v>
      </c>
      <c r="C91" s="406"/>
      <c r="D91" s="407"/>
      <c r="E91" s="61"/>
      <c r="F91" s="31"/>
      <c r="G91" s="45"/>
      <c r="H91" s="33"/>
      <c r="I91" s="33">
        <f>I97</f>
        <v>0</v>
      </c>
      <c r="J91" s="33"/>
      <c r="K91" s="94">
        <f>I91</f>
        <v>0</v>
      </c>
      <c r="L91" s="33">
        <f>0+K91</f>
        <v>0</v>
      </c>
      <c r="M91" s="34">
        <f t="shared" si="8"/>
        <v>0</v>
      </c>
      <c r="N91" s="35">
        <f t="shared" si="8"/>
        <v>0</v>
      </c>
      <c r="O91" s="64">
        <v>0</v>
      </c>
      <c r="P91" s="65">
        <v>0</v>
      </c>
      <c r="Q91" s="37"/>
      <c r="R91" s="1"/>
    </row>
    <row r="92" spans="1:18" ht="15.75" thickBot="1">
      <c r="A92" s="60" t="s">
        <v>130</v>
      </c>
      <c r="B92" s="405" t="s">
        <v>55</v>
      </c>
      <c r="C92" s="406"/>
      <c r="D92" s="407"/>
      <c r="E92" s="61"/>
      <c r="F92" s="31"/>
      <c r="G92" s="45"/>
      <c r="H92" s="33"/>
      <c r="I92" s="33"/>
      <c r="J92" s="33"/>
      <c r="K92" s="94">
        <f t="shared" si="9"/>
        <v>0</v>
      </c>
      <c r="L92" s="33">
        <f>0+K92</f>
        <v>0</v>
      </c>
      <c r="M92" s="34">
        <f t="shared" si="8"/>
        <v>0</v>
      </c>
      <c r="N92" s="35">
        <f t="shared" si="8"/>
        <v>0</v>
      </c>
      <c r="O92" s="64">
        <v>0</v>
      </c>
      <c r="P92" s="65">
        <v>0</v>
      </c>
      <c r="Q92" s="37"/>
      <c r="R92" s="80"/>
    </row>
    <row r="93" spans="1:18" ht="18.75" customHeight="1" thickBot="1">
      <c r="A93" s="60" t="s">
        <v>131</v>
      </c>
      <c r="B93" s="420" t="s">
        <v>132</v>
      </c>
      <c r="C93" s="421"/>
      <c r="D93" s="422"/>
      <c r="E93" s="152">
        <v>3150</v>
      </c>
      <c r="F93" s="31">
        <f>9450+E93</f>
        <v>12600</v>
      </c>
      <c r="G93" s="45">
        <v>3000</v>
      </c>
      <c r="H93" s="74"/>
      <c r="I93" s="74"/>
      <c r="J93" s="74"/>
      <c r="K93" s="94">
        <f t="shared" si="9"/>
        <v>3000</v>
      </c>
      <c r="L93" s="33">
        <f>9000+K93</f>
        <v>12000</v>
      </c>
      <c r="M93" s="34">
        <f t="shared" si="8"/>
        <v>150</v>
      </c>
      <c r="N93" s="35">
        <f t="shared" si="8"/>
        <v>600</v>
      </c>
      <c r="O93" s="64">
        <v>0</v>
      </c>
      <c r="P93" s="65">
        <v>0</v>
      </c>
      <c r="Q93" s="1"/>
      <c r="R93" s="37"/>
    </row>
    <row r="94" spans="1:18" ht="27.75" customHeight="1" thickBot="1">
      <c r="A94" s="60" t="s">
        <v>133</v>
      </c>
      <c r="B94" s="414" t="s">
        <v>134</v>
      </c>
      <c r="C94" s="415"/>
      <c r="D94" s="416"/>
      <c r="E94" s="152">
        <v>4600</v>
      </c>
      <c r="F94" s="31">
        <f>13800+E94</f>
        <v>18400</v>
      </c>
      <c r="G94" s="45">
        <v>8800</v>
      </c>
      <c r="H94" s="74"/>
      <c r="I94" s="74"/>
      <c r="J94" s="74"/>
      <c r="K94" s="94">
        <f>G94</f>
        <v>8800</v>
      </c>
      <c r="L94" s="33">
        <f>13200+K94</f>
        <v>22000</v>
      </c>
      <c r="M94" s="34">
        <f t="shared" si="8"/>
        <v>-4200</v>
      </c>
      <c r="N94" s="35">
        <f t="shared" si="8"/>
        <v>-3600</v>
      </c>
      <c r="O94" s="64">
        <v>0</v>
      </c>
      <c r="P94" s="65">
        <v>0</v>
      </c>
      <c r="Q94" s="1"/>
      <c r="R94" s="1"/>
    </row>
    <row r="95" spans="1:18" ht="30.75" customHeight="1" thickBot="1">
      <c r="A95" s="60" t="s">
        <v>135</v>
      </c>
      <c r="B95" s="420" t="s">
        <v>136</v>
      </c>
      <c r="C95" s="421"/>
      <c r="D95" s="422"/>
      <c r="E95" s="152"/>
      <c r="F95" s="31">
        <f>0+E95</f>
        <v>0</v>
      </c>
      <c r="G95" s="45"/>
      <c r="H95" s="74"/>
      <c r="I95" s="74"/>
      <c r="J95" s="74"/>
      <c r="K95" s="94">
        <f t="shared" si="9"/>
        <v>0</v>
      </c>
      <c r="L95" s="33">
        <f>0+K95</f>
        <v>0</v>
      </c>
      <c r="M95" s="34">
        <f t="shared" si="8"/>
        <v>0</v>
      </c>
      <c r="N95" s="35">
        <f t="shared" si="8"/>
        <v>0</v>
      </c>
      <c r="O95" s="64">
        <v>0</v>
      </c>
      <c r="P95" s="65">
        <v>0</v>
      </c>
      <c r="Q95" s="1"/>
      <c r="R95" s="1"/>
    </row>
    <row r="96" spans="1:18" ht="28.5" customHeight="1" thickBot="1">
      <c r="A96" s="60" t="s">
        <v>137</v>
      </c>
      <c r="B96" s="420" t="s">
        <v>138</v>
      </c>
      <c r="C96" s="421"/>
      <c r="D96" s="422"/>
      <c r="E96" s="152">
        <v>1420</v>
      </c>
      <c r="F96" s="31">
        <f>4260+E96</f>
        <v>5680</v>
      </c>
      <c r="G96" s="45">
        <v>2460</v>
      </c>
      <c r="H96" s="74"/>
      <c r="I96" s="74"/>
      <c r="J96" s="74"/>
      <c r="K96" s="94">
        <f t="shared" si="9"/>
        <v>2460</v>
      </c>
      <c r="L96" s="33">
        <f>3305+K96</f>
        <v>5765</v>
      </c>
      <c r="M96" s="34">
        <f t="shared" si="8"/>
        <v>-1040</v>
      </c>
      <c r="N96" s="35">
        <f t="shared" si="8"/>
        <v>-85</v>
      </c>
      <c r="O96" s="64">
        <v>0</v>
      </c>
      <c r="P96" s="65">
        <v>0</v>
      </c>
      <c r="Q96" s="1"/>
      <c r="R96" s="1"/>
    </row>
    <row r="97" spans="1:18" ht="21" customHeight="1" thickBot="1">
      <c r="A97" s="60" t="s">
        <v>139</v>
      </c>
      <c r="B97" s="420" t="s">
        <v>140</v>
      </c>
      <c r="C97" s="421"/>
      <c r="D97" s="422"/>
      <c r="E97" s="152">
        <v>7500</v>
      </c>
      <c r="F97" s="31">
        <f>22500+E97</f>
        <v>30000</v>
      </c>
      <c r="G97" s="45">
        <v>6547.94</v>
      </c>
      <c r="H97" s="74"/>
      <c r="I97" s="74"/>
      <c r="J97" s="74"/>
      <c r="K97" s="94">
        <f>G97+I97</f>
        <v>6547.94</v>
      </c>
      <c r="L97" s="33">
        <f>16479.13+K97</f>
        <v>23027.07</v>
      </c>
      <c r="M97" s="34">
        <f t="shared" si="8"/>
        <v>952.0600000000004</v>
      </c>
      <c r="N97" s="35">
        <f t="shared" si="8"/>
        <v>6972.93</v>
      </c>
      <c r="O97" s="64">
        <v>0</v>
      </c>
      <c r="P97" s="65">
        <v>0</v>
      </c>
      <c r="Q97" s="1"/>
      <c r="R97" s="71"/>
    </row>
    <row r="98" spans="1:16" ht="24.75" customHeight="1" thickBot="1">
      <c r="A98" s="60" t="s">
        <v>141</v>
      </c>
      <c r="B98" s="491" t="s">
        <v>142</v>
      </c>
      <c r="C98" s="492"/>
      <c r="D98" s="493"/>
      <c r="E98" s="152">
        <v>2910</v>
      </c>
      <c r="F98" s="31">
        <f>8730+E98</f>
        <v>11640</v>
      </c>
      <c r="G98" s="45">
        <v>4700</v>
      </c>
      <c r="H98" s="74"/>
      <c r="I98" s="74"/>
      <c r="J98" s="74"/>
      <c r="K98" s="94">
        <f t="shared" si="9"/>
        <v>4700</v>
      </c>
      <c r="L98" s="33">
        <f>7044+K98</f>
        <v>11744</v>
      </c>
      <c r="M98" s="34">
        <f t="shared" si="8"/>
        <v>-1790</v>
      </c>
      <c r="N98" s="35">
        <f t="shared" si="8"/>
        <v>-104</v>
      </c>
      <c r="O98" s="64">
        <v>0</v>
      </c>
      <c r="P98" s="65">
        <v>0</v>
      </c>
    </row>
    <row r="99" spans="1:16" ht="35.25" customHeight="1" thickBot="1">
      <c r="A99" s="60" t="s">
        <v>143</v>
      </c>
      <c r="B99" s="420" t="s">
        <v>144</v>
      </c>
      <c r="C99" s="421"/>
      <c r="D99" s="422"/>
      <c r="E99" s="152"/>
      <c r="F99" s="31">
        <f>8000+E99</f>
        <v>8000</v>
      </c>
      <c r="G99" s="45"/>
      <c r="H99" s="74"/>
      <c r="I99" s="74"/>
      <c r="J99" s="74"/>
      <c r="K99" s="94">
        <f t="shared" si="9"/>
        <v>0</v>
      </c>
      <c r="L99" s="33">
        <f>5000+K99</f>
        <v>5000</v>
      </c>
      <c r="M99" s="34">
        <f t="shared" si="8"/>
        <v>0</v>
      </c>
      <c r="N99" s="35">
        <f t="shared" si="8"/>
        <v>3000</v>
      </c>
      <c r="O99" s="64">
        <v>0</v>
      </c>
      <c r="P99" s="65">
        <v>0</v>
      </c>
    </row>
    <row r="100" spans="1:16" ht="25.5" customHeight="1" thickBot="1">
      <c r="A100" s="60" t="s">
        <v>145</v>
      </c>
      <c r="B100" s="420" t="s">
        <v>146</v>
      </c>
      <c r="C100" s="421"/>
      <c r="D100" s="422"/>
      <c r="E100" s="152">
        <v>9800</v>
      </c>
      <c r="F100" s="31">
        <f>19600+E100</f>
        <v>29400</v>
      </c>
      <c r="G100" s="45">
        <v>18741.52</v>
      </c>
      <c r="H100" s="74"/>
      <c r="I100" s="74"/>
      <c r="J100" s="74"/>
      <c r="K100" s="94">
        <f>G100</f>
        <v>18741.52</v>
      </c>
      <c r="L100" s="33">
        <f>44645.14+K100</f>
        <v>63386.66</v>
      </c>
      <c r="M100" s="34">
        <f t="shared" si="8"/>
        <v>-8941.52</v>
      </c>
      <c r="N100" s="35">
        <f t="shared" si="8"/>
        <v>-33986.66</v>
      </c>
      <c r="O100" s="64">
        <v>0</v>
      </c>
      <c r="P100" s="65">
        <v>0</v>
      </c>
    </row>
    <row r="101" spans="1:18" ht="32.25" customHeight="1" thickBot="1">
      <c r="A101" s="86" t="s">
        <v>147</v>
      </c>
      <c r="B101" s="423" t="s">
        <v>148</v>
      </c>
      <c r="C101" s="424"/>
      <c r="D101" s="425"/>
      <c r="E101" s="73">
        <f>E102+E103</f>
        <v>2200</v>
      </c>
      <c r="F101" s="73">
        <f>F102+F103+F104+F105</f>
        <v>109500</v>
      </c>
      <c r="G101" s="73">
        <f>G102+G104+G105</f>
        <v>31169.3</v>
      </c>
      <c r="H101" s="75">
        <f>H103</f>
        <v>0</v>
      </c>
      <c r="I101" s="55">
        <f>I104</f>
        <v>0</v>
      </c>
      <c r="J101" s="55"/>
      <c r="K101" s="73">
        <f>G101+H101+I101+J101</f>
        <v>31169.3</v>
      </c>
      <c r="L101" s="55">
        <f>L102+L103+L104+L105</f>
        <v>431135.79</v>
      </c>
      <c r="M101" s="56">
        <f t="shared" si="8"/>
        <v>-28969.3</v>
      </c>
      <c r="N101" s="70">
        <f t="shared" si="8"/>
        <v>-321635.79</v>
      </c>
      <c r="O101" s="58">
        <v>0</v>
      </c>
      <c r="P101" s="59">
        <v>0</v>
      </c>
      <c r="R101" s="95"/>
    </row>
    <row r="102" spans="1:18" ht="15.75" thickBot="1">
      <c r="A102" s="60" t="s">
        <v>149</v>
      </c>
      <c r="B102" s="405" t="s">
        <v>53</v>
      </c>
      <c r="C102" s="406"/>
      <c r="D102" s="407"/>
      <c r="E102" s="61">
        <f>E106+E107+E114+E119+E131+E113+E128+E115+E120</f>
        <v>2200</v>
      </c>
      <c r="F102" s="31">
        <f>107300+E102</f>
        <v>109500</v>
      </c>
      <c r="G102" s="74">
        <f>G113+G114+G118+G120+G128+G119</f>
        <v>31169.3</v>
      </c>
      <c r="H102" s="74"/>
      <c r="I102" s="33"/>
      <c r="J102" s="33"/>
      <c r="K102" s="94">
        <f>G102</f>
        <v>31169.3</v>
      </c>
      <c r="L102" s="33">
        <f>399966.49+K102</f>
        <v>431135.79</v>
      </c>
      <c r="M102" s="34">
        <f t="shared" si="8"/>
        <v>-28969.3</v>
      </c>
      <c r="N102" s="35">
        <f t="shared" si="8"/>
        <v>-321635.79</v>
      </c>
      <c r="O102" s="64">
        <v>0</v>
      </c>
      <c r="P102" s="65">
        <v>0</v>
      </c>
      <c r="R102" s="95"/>
    </row>
    <row r="103" spans="1:18" ht="18" customHeight="1" thickBot="1">
      <c r="A103" s="60" t="s">
        <v>150</v>
      </c>
      <c r="B103" s="457" t="s">
        <v>51</v>
      </c>
      <c r="C103" s="458"/>
      <c r="D103" s="459"/>
      <c r="E103" s="61">
        <f>E129</f>
        <v>0</v>
      </c>
      <c r="F103" s="31">
        <f>0+E103</f>
        <v>0</v>
      </c>
      <c r="G103" s="74"/>
      <c r="H103" s="74">
        <f>H129</f>
        <v>0</v>
      </c>
      <c r="I103" s="33"/>
      <c r="J103" s="33"/>
      <c r="K103" s="94">
        <f>H103</f>
        <v>0</v>
      </c>
      <c r="L103" s="33">
        <f>0+K103</f>
        <v>0</v>
      </c>
      <c r="M103" s="34">
        <f t="shared" si="8"/>
        <v>0</v>
      </c>
      <c r="N103" s="35">
        <f t="shared" si="8"/>
        <v>0</v>
      </c>
      <c r="O103" s="64">
        <v>0</v>
      </c>
      <c r="P103" s="65">
        <v>0</v>
      </c>
      <c r="R103" s="96"/>
    </row>
    <row r="104" spans="1:16" ht="28.5" customHeight="1" thickBot="1">
      <c r="A104" s="60" t="s">
        <v>151</v>
      </c>
      <c r="B104" s="405" t="s">
        <v>104</v>
      </c>
      <c r="C104" s="406"/>
      <c r="D104" s="407"/>
      <c r="E104" s="61"/>
      <c r="F104" s="31"/>
      <c r="G104" s="31"/>
      <c r="H104" s="74"/>
      <c r="I104" s="33">
        <f>I128+I117+I131</f>
        <v>0</v>
      </c>
      <c r="J104" s="33"/>
      <c r="K104" s="94">
        <f>I104</f>
        <v>0</v>
      </c>
      <c r="L104" s="33">
        <f>0+K104</f>
        <v>0</v>
      </c>
      <c r="M104" s="34">
        <f aca="true" t="shared" si="10" ref="M104:N120">E104-K104</f>
        <v>0</v>
      </c>
      <c r="N104" s="35">
        <f t="shared" si="10"/>
        <v>0</v>
      </c>
      <c r="O104" s="64">
        <v>0</v>
      </c>
      <c r="P104" s="65">
        <v>0</v>
      </c>
    </row>
    <row r="105" spans="1:18" ht="15.75" thickBot="1">
      <c r="A105" s="60" t="s">
        <v>152</v>
      </c>
      <c r="B105" s="457" t="s">
        <v>55</v>
      </c>
      <c r="C105" s="458"/>
      <c r="D105" s="459"/>
      <c r="E105" s="61"/>
      <c r="F105" s="31"/>
      <c r="G105" s="74"/>
      <c r="H105" s="74"/>
      <c r="I105" s="33"/>
      <c r="J105" s="33"/>
      <c r="K105" s="94">
        <f>G105</f>
        <v>0</v>
      </c>
      <c r="L105" s="33">
        <f>0+K105</f>
        <v>0</v>
      </c>
      <c r="M105" s="34">
        <f t="shared" si="10"/>
        <v>0</v>
      </c>
      <c r="N105" s="35">
        <f t="shared" si="10"/>
        <v>0</v>
      </c>
      <c r="O105" s="64">
        <v>0</v>
      </c>
      <c r="P105" s="65">
        <v>0</v>
      </c>
      <c r="R105" s="95"/>
    </row>
    <row r="106" spans="1:16" ht="26.25" customHeight="1" thickBot="1">
      <c r="A106" s="60" t="s">
        <v>153</v>
      </c>
      <c r="B106" s="460" t="s">
        <v>154</v>
      </c>
      <c r="C106" s="461"/>
      <c r="D106" s="462"/>
      <c r="E106" s="31"/>
      <c r="F106" s="31">
        <f>40000+E106</f>
        <v>40000</v>
      </c>
      <c r="G106" s="74"/>
      <c r="H106" s="74"/>
      <c r="I106" s="74"/>
      <c r="J106" s="74"/>
      <c r="K106" s="94">
        <f aca="true" t="shared" si="11" ref="K106:K120">G106</f>
        <v>0</v>
      </c>
      <c r="L106" s="33">
        <f>0+K106</f>
        <v>0</v>
      </c>
      <c r="M106" s="34">
        <f t="shared" si="10"/>
        <v>0</v>
      </c>
      <c r="N106" s="35">
        <f t="shared" si="10"/>
        <v>40000</v>
      </c>
      <c r="O106" s="64">
        <v>0</v>
      </c>
      <c r="P106" s="65">
        <v>0</v>
      </c>
    </row>
    <row r="107" spans="1:16" ht="28.5" customHeight="1" thickBot="1">
      <c r="A107" s="60" t="s">
        <v>155</v>
      </c>
      <c r="B107" s="420" t="s">
        <v>156</v>
      </c>
      <c r="C107" s="421"/>
      <c r="D107" s="422"/>
      <c r="E107" s="31"/>
      <c r="F107" s="31">
        <f>11200+E107</f>
        <v>11200</v>
      </c>
      <c r="G107" s="74"/>
      <c r="H107" s="74"/>
      <c r="I107" s="74"/>
      <c r="J107" s="74"/>
      <c r="K107" s="94">
        <f t="shared" si="11"/>
        <v>0</v>
      </c>
      <c r="L107" s="33">
        <f>0+K107</f>
        <v>0</v>
      </c>
      <c r="M107" s="34">
        <f t="shared" si="10"/>
        <v>0</v>
      </c>
      <c r="N107" s="35">
        <f t="shared" si="10"/>
        <v>11200</v>
      </c>
      <c r="O107" s="64">
        <v>0</v>
      </c>
      <c r="P107" s="65">
        <v>0</v>
      </c>
    </row>
    <row r="108" spans="1:16" ht="29.25" customHeight="1" thickBot="1">
      <c r="A108" s="60" t="s">
        <v>157</v>
      </c>
      <c r="B108" s="466" t="s">
        <v>158</v>
      </c>
      <c r="C108" s="467"/>
      <c r="D108" s="468"/>
      <c r="E108" s="31"/>
      <c r="F108" s="31"/>
      <c r="G108" s="74"/>
      <c r="H108" s="74"/>
      <c r="I108" s="74"/>
      <c r="J108" s="74"/>
      <c r="K108" s="94">
        <f t="shared" si="11"/>
        <v>0</v>
      </c>
      <c r="L108" s="33">
        <f>0+K108</f>
        <v>0</v>
      </c>
      <c r="M108" s="34">
        <f t="shared" si="10"/>
        <v>0</v>
      </c>
      <c r="N108" s="35">
        <f t="shared" si="10"/>
        <v>0</v>
      </c>
      <c r="O108" s="64">
        <v>0</v>
      </c>
      <c r="P108" s="65">
        <v>0</v>
      </c>
    </row>
    <row r="109" spans="1:16" ht="23.25" customHeight="1" thickBot="1">
      <c r="A109" s="60" t="s">
        <v>159</v>
      </c>
      <c r="B109" s="420" t="s">
        <v>160</v>
      </c>
      <c r="C109" s="421"/>
      <c r="D109" s="422"/>
      <c r="E109" s="31"/>
      <c r="F109" s="31"/>
      <c r="G109" s="74"/>
      <c r="H109" s="74"/>
      <c r="I109" s="74"/>
      <c r="J109" s="74"/>
      <c r="K109" s="94">
        <f t="shared" si="11"/>
        <v>0</v>
      </c>
      <c r="L109" s="33">
        <f>0+K109</f>
        <v>0</v>
      </c>
      <c r="M109" s="34">
        <f t="shared" si="10"/>
        <v>0</v>
      </c>
      <c r="N109" s="35">
        <f t="shared" si="10"/>
        <v>0</v>
      </c>
      <c r="O109" s="64">
        <v>0</v>
      </c>
      <c r="P109" s="65">
        <v>0</v>
      </c>
    </row>
    <row r="110" spans="1:18" ht="30" customHeight="1" thickBot="1">
      <c r="A110" s="60" t="s">
        <v>161</v>
      </c>
      <c r="B110" s="420" t="s">
        <v>162</v>
      </c>
      <c r="C110" s="421"/>
      <c r="D110" s="422"/>
      <c r="E110" s="31"/>
      <c r="F110" s="31"/>
      <c r="G110" s="74"/>
      <c r="H110" s="74"/>
      <c r="I110" s="74"/>
      <c r="J110" s="74"/>
      <c r="K110" s="94">
        <f t="shared" si="11"/>
        <v>0</v>
      </c>
      <c r="L110" s="33">
        <f>0+K110</f>
        <v>0</v>
      </c>
      <c r="M110" s="34">
        <f t="shared" si="10"/>
        <v>0</v>
      </c>
      <c r="N110" s="35">
        <f t="shared" si="10"/>
        <v>0</v>
      </c>
      <c r="O110" s="64">
        <v>0</v>
      </c>
      <c r="P110" s="65">
        <v>0</v>
      </c>
      <c r="R110" s="96"/>
    </row>
    <row r="111" spans="1:16" ht="30" customHeight="1" thickBot="1">
      <c r="A111" s="60" t="s">
        <v>163</v>
      </c>
      <c r="B111" s="466" t="s">
        <v>164</v>
      </c>
      <c r="C111" s="467"/>
      <c r="D111" s="468"/>
      <c r="E111" s="31"/>
      <c r="F111" s="31"/>
      <c r="G111" s="74"/>
      <c r="H111" s="74"/>
      <c r="I111" s="74"/>
      <c r="J111" s="74"/>
      <c r="K111" s="94">
        <f t="shared" si="11"/>
        <v>0</v>
      </c>
      <c r="L111" s="33">
        <f>0+K111</f>
        <v>0</v>
      </c>
      <c r="M111" s="34">
        <f t="shared" si="10"/>
        <v>0</v>
      </c>
      <c r="N111" s="35">
        <f t="shared" si="10"/>
        <v>0</v>
      </c>
      <c r="O111" s="64">
        <v>0</v>
      </c>
      <c r="P111" s="65">
        <v>0</v>
      </c>
    </row>
    <row r="112" spans="1:16" ht="27.75" customHeight="1" thickBot="1">
      <c r="A112" s="60" t="s">
        <v>165</v>
      </c>
      <c r="B112" s="420" t="s">
        <v>166</v>
      </c>
      <c r="C112" s="421"/>
      <c r="D112" s="422"/>
      <c r="E112" s="31"/>
      <c r="F112" s="31"/>
      <c r="G112" s="74"/>
      <c r="H112" s="74"/>
      <c r="I112" s="74"/>
      <c r="J112" s="74"/>
      <c r="K112" s="94">
        <f t="shared" si="11"/>
        <v>0</v>
      </c>
      <c r="L112" s="33">
        <f>0+K112</f>
        <v>0</v>
      </c>
      <c r="M112" s="34">
        <f t="shared" si="10"/>
        <v>0</v>
      </c>
      <c r="N112" s="35">
        <f t="shared" si="10"/>
        <v>0</v>
      </c>
      <c r="O112" s="64">
        <v>0</v>
      </c>
      <c r="P112" s="65">
        <v>0</v>
      </c>
    </row>
    <row r="113" spans="1:16" ht="23.25" customHeight="1" thickBot="1">
      <c r="A113" s="60" t="s">
        <v>167</v>
      </c>
      <c r="B113" s="420" t="s">
        <v>168</v>
      </c>
      <c r="C113" s="421"/>
      <c r="D113" s="422"/>
      <c r="E113" s="31"/>
      <c r="F113" s="31"/>
      <c r="G113" s="74">
        <v>20375</v>
      </c>
      <c r="H113" s="74"/>
      <c r="I113" s="74"/>
      <c r="J113" s="74"/>
      <c r="K113" s="94">
        <f t="shared" si="11"/>
        <v>20375</v>
      </c>
      <c r="L113" s="33">
        <f>15415+K113</f>
        <v>35790</v>
      </c>
      <c r="M113" s="34">
        <f t="shared" si="10"/>
        <v>-20375</v>
      </c>
      <c r="N113" s="35">
        <f t="shared" si="10"/>
        <v>-35790</v>
      </c>
      <c r="O113" s="64">
        <v>0</v>
      </c>
      <c r="P113" s="65">
        <v>0</v>
      </c>
    </row>
    <row r="114" spans="1:16" ht="44.25" customHeight="1" thickBot="1">
      <c r="A114" s="60" t="s">
        <v>169</v>
      </c>
      <c r="B114" s="420" t="s">
        <v>170</v>
      </c>
      <c r="C114" s="421"/>
      <c r="D114" s="422"/>
      <c r="E114" s="31">
        <v>1000</v>
      </c>
      <c r="F114" s="31">
        <f>3000+E114</f>
        <v>4000</v>
      </c>
      <c r="G114" s="74">
        <v>1848.3</v>
      </c>
      <c r="H114" s="74"/>
      <c r="I114" s="74"/>
      <c r="J114" s="74"/>
      <c r="K114" s="94">
        <f t="shared" si="11"/>
        <v>1848.3</v>
      </c>
      <c r="L114" s="33">
        <f>5519.49+K114</f>
        <v>7367.79</v>
      </c>
      <c r="M114" s="34">
        <f>E114-K114</f>
        <v>-848.3</v>
      </c>
      <c r="N114" s="35">
        <f t="shared" si="10"/>
        <v>-3367.79</v>
      </c>
      <c r="O114" s="64">
        <v>0</v>
      </c>
      <c r="P114" s="65">
        <v>0</v>
      </c>
    </row>
    <row r="115" spans="1:16" ht="33" customHeight="1" thickBot="1">
      <c r="A115" s="60" t="s">
        <v>171</v>
      </c>
      <c r="B115" s="420" t="s">
        <v>172</v>
      </c>
      <c r="C115" s="421"/>
      <c r="D115" s="422"/>
      <c r="E115" s="31"/>
      <c r="F115" s="31">
        <f>4000+E115</f>
        <v>4000</v>
      </c>
      <c r="G115" s="74"/>
      <c r="H115" s="74"/>
      <c r="I115" s="74"/>
      <c r="J115" s="74"/>
      <c r="K115" s="94">
        <f t="shared" si="11"/>
        <v>0</v>
      </c>
      <c r="L115" s="33">
        <f>0+K115</f>
        <v>0</v>
      </c>
      <c r="M115" s="34">
        <f t="shared" si="10"/>
        <v>0</v>
      </c>
      <c r="N115" s="35">
        <f t="shared" si="10"/>
        <v>4000</v>
      </c>
      <c r="O115" s="64">
        <v>0</v>
      </c>
      <c r="P115" s="65">
        <v>0</v>
      </c>
    </row>
    <row r="116" spans="1:16" ht="30.75" customHeight="1" thickBot="1">
      <c r="A116" s="60" t="s">
        <v>173</v>
      </c>
      <c r="B116" s="420" t="s">
        <v>174</v>
      </c>
      <c r="C116" s="421"/>
      <c r="D116" s="422"/>
      <c r="E116" s="31"/>
      <c r="F116" s="31"/>
      <c r="G116" s="74"/>
      <c r="H116" s="74"/>
      <c r="I116" s="74"/>
      <c r="J116" s="74"/>
      <c r="K116" s="94">
        <f t="shared" si="11"/>
        <v>0</v>
      </c>
      <c r="L116" s="33">
        <f>0+K116</f>
        <v>0</v>
      </c>
      <c r="M116" s="34">
        <f t="shared" si="10"/>
        <v>0</v>
      </c>
      <c r="N116" s="35">
        <f t="shared" si="10"/>
        <v>0</v>
      </c>
      <c r="O116" s="64">
        <v>0</v>
      </c>
      <c r="P116" s="65">
        <v>0</v>
      </c>
    </row>
    <row r="117" spans="1:16" ht="30.75" customHeight="1" thickBot="1">
      <c r="A117" s="60"/>
      <c r="B117" s="420" t="s">
        <v>175</v>
      </c>
      <c r="C117" s="421"/>
      <c r="D117" s="422"/>
      <c r="E117" s="31"/>
      <c r="F117" s="31"/>
      <c r="G117" s="74"/>
      <c r="H117" s="74"/>
      <c r="I117" s="74"/>
      <c r="J117" s="74"/>
      <c r="K117" s="94">
        <f>I117</f>
        <v>0</v>
      </c>
      <c r="L117" s="33">
        <f>0+K117</f>
        <v>0</v>
      </c>
      <c r="M117" s="34">
        <f t="shared" si="10"/>
        <v>0</v>
      </c>
      <c r="N117" s="35">
        <f t="shared" si="10"/>
        <v>0</v>
      </c>
      <c r="O117" s="64">
        <v>0</v>
      </c>
      <c r="P117" s="65">
        <v>0</v>
      </c>
    </row>
    <row r="118" spans="1:16" ht="32.25" customHeight="1" thickBot="1">
      <c r="A118" s="60" t="s">
        <v>176</v>
      </c>
      <c r="B118" s="420" t="s">
        <v>177</v>
      </c>
      <c r="C118" s="421"/>
      <c r="D118" s="422"/>
      <c r="E118" s="31"/>
      <c r="F118" s="31"/>
      <c r="G118" s="74"/>
      <c r="H118" s="74"/>
      <c r="I118" s="74"/>
      <c r="J118" s="74"/>
      <c r="K118" s="94">
        <f>G118</f>
        <v>0</v>
      </c>
      <c r="L118" s="33">
        <f>1356.68+K118</f>
        <v>1356.68</v>
      </c>
      <c r="M118" s="34">
        <f t="shared" si="10"/>
        <v>0</v>
      </c>
      <c r="N118" s="35">
        <f t="shared" si="10"/>
        <v>-1356.68</v>
      </c>
      <c r="O118" s="64">
        <v>0</v>
      </c>
      <c r="P118" s="65">
        <v>0</v>
      </c>
    </row>
    <row r="119" spans="1:18" ht="30.75" customHeight="1" thickBot="1">
      <c r="A119" s="60" t="s">
        <v>178</v>
      </c>
      <c r="B119" s="463" t="s">
        <v>179</v>
      </c>
      <c r="C119" s="464"/>
      <c r="D119" s="465"/>
      <c r="E119" s="31"/>
      <c r="F119" s="31"/>
      <c r="G119" s="74">
        <v>6546</v>
      </c>
      <c r="H119" s="74"/>
      <c r="I119" s="74"/>
      <c r="J119" s="74"/>
      <c r="K119" s="94">
        <f>G119</f>
        <v>6546</v>
      </c>
      <c r="L119" s="33">
        <f>0+K119</f>
        <v>6546</v>
      </c>
      <c r="M119" s="34">
        <f t="shared" si="10"/>
        <v>-6546</v>
      </c>
      <c r="N119" s="35">
        <f t="shared" si="10"/>
        <v>-6546</v>
      </c>
      <c r="O119" s="64">
        <v>0</v>
      </c>
      <c r="P119" s="65">
        <v>0</v>
      </c>
      <c r="R119" s="96"/>
    </row>
    <row r="120" spans="1:16" ht="27" customHeight="1" thickBot="1">
      <c r="A120" s="97" t="s">
        <v>180</v>
      </c>
      <c r="B120" s="420" t="s">
        <v>181</v>
      </c>
      <c r="C120" s="421"/>
      <c r="D120" s="422"/>
      <c r="E120" s="31">
        <v>1200</v>
      </c>
      <c r="F120" s="31">
        <f>3100+E120</f>
        <v>4300</v>
      </c>
      <c r="G120" s="74">
        <v>2400</v>
      </c>
      <c r="H120" s="74"/>
      <c r="I120" s="74"/>
      <c r="J120" s="74"/>
      <c r="K120" s="94">
        <f t="shared" si="11"/>
        <v>2400</v>
      </c>
      <c r="L120" s="33">
        <f>6150+K120</f>
        <v>8550</v>
      </c>
      <c r="M120" s="34">
        <f t="shared" si="10"/>
        <v>-1200</v>
      </c>
      <c r="N120" s="35">
        <f t="shared" si="10"/>
        <v>-4250</v>
      </c>
      <c r="O120" s="64">
        <v>0</v>
      </c>
      <c r="P120" s="65">
        <v>0</v>
      </c>
    </row>
    <row r="121" spans="1:16" ht="15">
      <c r="A121" s="98"/>
      <c r="B121" s="396" t="s">
        <v>43</v>
      </c>
      <c r="C121" s="396"/>
      <c r="D121" s="396"/>
      <c r="E121" s="396"/>
      <c r="F121" s="396"/>
      <c r="G121" s="396"/>
      <c r="H121" s="396"/>
      <c r="I121" s="396"/>
      <c r="J121" s="396"/>
      <c r="K121" s="396"/>
      <c r="L121" s="396"/>
      <c r="M121" s="396"/>
      <c r="N121" s="396"/>
      <c r="O121" s="396"/>
      <c r="P121" s="397"/>
    </row>
    <row r="122" spans="1:16" ht="3.75" customHeight="1" thickBot="1">
      <c r="A122" s="99"/>
      <c r="B122" s="399"/>
      <c r="C122" s="399"/>
      <c r="D122" s="399"/>
      <c r="E122" s="399"/>
      <c r="F122" s="399"/>
      <c r="G122" s="399"/>
      <c r="H122" s="399"/>
      <c r="I122" s="399"/>
      <c r="J122" s="399"/>
      <c r="K122" s="399"/>
      <c r="L122" s="399"/>
      <c r="M122" s="399"/>
      <c r="N122" s="399"/>
      <c r="O122" s="399"/>
      <c r="P122" s="400"/>
    </row>
    <row r="123" spans="1:16" ht="15.75" thickBot="1">
      <c r="A123" s="100"/>
      <c r="B123" s="471" t="s">
        <v>14</v>
      </c>
      <c r="C123" s="472"/>
      <c r="D123" s="473"/>
      <c r="E123" s="477" t="s">
        <v>24</v>
      </c>
      <c r="F123" s="479" t="s">
        <v>25</v>
      </c>
      <c r="G123" s="481" t="s">
        <v>44</v>
      </c>
      <c r="H123" s="482"/>
      <c r="I123" s="482"/>
      <c r="J123" s="482"/>
      <c r="K123" s="483"/>
      <c r="L123" s="469" t="s">
        <v>16</v>
      </c>
      <c r="M123" s="469" t="s">
        <v>17</v>
      </c>
      <c r="N123" s="469" t="s">
        <v>18</v>
      </c>
      <c r="O123" s="469" t="s">
        <v>19</v>
      </c>
      <c r="P123" s="469" t="s">
        <v>20</v>
      </c>
    </row>
    <row r="124" spans="1:16" ht="56.25" customHeight="1" thickBot="1">
      <c r="A124" s="185"/>
      <c r="B124" s="474"/>
      <c r="C124" s="475"/>
      <c r="D124" s="476"/>
      <c r="E124" s="478"/>
      <c r="F124" s="480"/>
      <c r="G124" s="102" t="s">
        <v>45</v>
      </c>
      <c r="H124" s="102" t="s">
        <v>46</v>
      </c>
      <c r="I124" s="102" t="s">
        <v>47</v>
      </c>
      <c r="J124" s="103" t="s">
        <v>48</v>
      </c>
      <c r="K124" s="104" t="s">
        <v>27</v>
      </c>
      <c r="L124" s="470"/>
      <c r="M124" s="470"/>
      <c r="N124" s="470"/>
      <c r="O124" s="470"/>
      <c r="P124" s="470"/>
    </row>
    <row r="125" spans="1:16" ht="15.75" thickBot="1">
      <c r="A125" s="105"/>
      <c r="B125" s="342">
        <v>1</v>
      </c>
      <c r="C125" s="343"/>
      <c r="D125" s="344"/>
      <c r="E125" s="17" t="s">
        <v>22</v>
      </c>
      <c r="F125" s="182">
        <v>3</v>
      </c>
      <c r="G125" s="182">
        <v>4</v>
      </c>
      <c r="H125" s="182">
        <v>5</v>
      </c>
      <c r="I125" s="7">
        <v>6</v>
      </c>
      <c r="J125" s="7">
        <v>7</v>
      </c>
      <c r="K125" s="48">
        <v>8</v>
      </c>
      <c r="L125" s="179">
        <v>9</v>
      </c>
      <c r="M125" s="7">
        <v>10</v>
      </c>
      <c r="N125" s="179">
        <v>11</v>
      </c>
      <c r="O125" s="7">
        <v>12</v>
      </c>
      <c r="P125" s="179">
        <v>13</v>
      </c>
    </row>
    <row r="126" spans="1:16" ht="32.25" customHeight="1" thickBot="1">
      <c r="A126" s="106" t="s">
        <v>182</v>
      </c>
      <c r="B126" s="411" t="s">
        <v>183</v>
      </c>
      <c r="C126" s="412"/>
      <c r="D126" s="413"/>
      <c r="E126" s="31"/>
      <c r="F126" s="31"/>
      <c r="G126" s="74"/>
      <c r="H126" s="74"/>
      <c r="I126" s="74"/>
      <c r="J126" s="74"/>
      <c r="K126" s="94">
        <f aca="true" t="shared" si="12" ref="K126:K140">G126</f>
        <v>0</v>
      </c>
      <c r="L126" s="33">
        <f>0+K126</f>
        <v>0</v>
      </c>
      <c r="M126" s="34">
        <f aca="true" t="shared" si="13" ref="M126:N141">E126-K126</f>
        <v>0</v>
      </c>
      <c r="N126" s="35">
        <f t="shared" si="13"/>
        <v>0</v>
      </c>
      <c r="O126" s="64">
        <v>0</v>
      </c>
      <c r="P126" s="65">
        <v>0</v>
      </c>
    </row>
    <row r="127" spans="1:16" ht="41.25" thickBot="1">
      <c r="A127" s="107" t="s">
        <v>184</v>
      </c>
      <c r="B127" s="426" t="s">
        <v>185</v>
      </c>
      <c r="C127" s="427"/>
      <c r="D127" s="428"/>
      <c r="E127" s="31"/>
      <c r="F127" s="31"/>
      <c r="G127" s="74"/>
      <c r="H127" s="74"/>
      <c r="I127" s="74"/>
      <c r="J127" s="74"/>
      <c r="K127" s="94">
        <f t="shared" si="12"/>
        <v>0</v>
      </c>
      <c r="L127" s="33">
        <f>0+K127</f>
        <v>0</v>
      </c>
      <c r="M127" s="34">
        <f t="shared" si="13"/>
        <v>0</v>
      </c>
      <c r="N127" s="35">
        <f t="shared" si="13"/>
        <v>0</v>
      </c>
      <c r="O127" s="64">
        <v>0</v>
      </c>
      <c r="P127" s="65">
        <v>0</v>
      </c>
    </row>
    <row r="128" spans="1:16" ht="36.75" customHeight="1" thickBot="1">
      <c r="A128" s="108" t="s">
        <v>186</v>
      </c>
      <c r="B128" s="426" t="s">
        <v>187</v>
      </c>
      <c r="C128" s="427"/>
      <c r="D128" s="428"/>
      <c r="E128" s="31"/>
      <c r="F128" s="31">
        <f>0+E128</f>
        <v>0</v>
      </c>
      <c r="G128" s="74"/>
      <c r="H128" s="74"/>
      <c r="I128" s="74"/>
      <c r="J128" s="74"/>
      <c r="K128" s="94">
        <f>I128+G128</f>
        <v>0</v>
      </c>
      <c r="L128" s="33">
        <f>371525.32+K128</f>
        <v>371525.32</v>
      </c>
      <c r="M128" s="34">
        <f t="shared" si="13"/>
        <v>0</v>
      </c>
      <c r="N128" s="35">
        <f t="shared" si="13"/>
        <v>-371525.32</v>
      </c>
      <c r="O128" s="64">
        <v>0</v>
      </c>
      <c r="P128" s="65">
        <v>0</v>
      </c>
    </row>
    <row r="129" spans="1:16" ht="44.25" customHeight="1" thickBot="1">
      <c r="A129" s="108" t="s">
        <v>188</v>
      </c>
      <c r="B129" s="426" t="s">
        <v>189</v>
      </c>
      <c r="C129" s="427"/>
      <c r="D129" s="428"/>
      <c r="E129" s="31"/>
      <c r="F129" s="31">
        <f>0+E129</f>
        <v>0</v>
      </c>
      <c r="G129" s="74"/>
      <c r="H129" s="74"/>
      <c r="I129" s="74"/>
      <c r="J129" s="74"/>
      <c r="K129" s="94">
        <f>H129</f>
        <v>0</v>
      </c>
      <c r="L129" s="33">
        <f>0+K129</f>
        <v>0</v>
      </c>
      <c r="M129" s="34">
        <f t="shared" si="13"/>
        <v>0</v>
      </c>
      <c r="N129" s="35">
        <f t="shared" si="13"/>
        <v>0</v>
      </c>
      <c r="O129" s="64">
        <v>0</v>
      </c>
      <c r="P129" s="65">
        <v>0</v>
      </c>
    </row>
    <row r="130" spans="1:16" ht="35.25" customHeight="1" thickBot="1">
      <c r="A130" s="109" t="s">
        <v>190</v>
      </c>
      <c r="B130" s="426" t="s">
        <v>191</v>
      </c>
      <c r="C130" s="427"/>
      <c r="D130" s="428"/>
      <c r="E130" s="31"/>
      <c r="F130" s="31"/>
      <c r="G130" s="74"/>
      <c r="H130" s="74"/>
      <c r="I130" s="74"/>
      <c r="J130" s="74"/>
      <c r="K130" s="94">
        <f>G130</f>
        <v>0</v>
      </c>
      <c r="L130" s="33">
        <f>0+K130</f>
        <v>0</v>
      </c>
      <c r="M130" s="34">
        <f t="shared" si="13"/>
        <v>0</v>
      </c>
      <c r="N130" s="35">
        <f t="shared" si="13"/>
        <v>0</v>
      </c>
      <c r="O130" s="64">
        <v>0</v>
      </c>
      <c r="P130" s="65">
        <v>0</v>
      </c>
    </row>
    <row r="131" spans="1:16" ht="41.25" customHeight="1" thickBot="1">
      <c r="A131" s="109" t="s">
        <v>192</v>
      </c>
      <c r="B131" s="494" t="s">
        <v>193</v>
      </c>
      <c r="C131" s="495"/>
      <c r="D131" s="496"/>
      <c r="E131" s="31"/>
      <c r="F131" s="31">
        <f>6000+E131</f>
        <v>6000</v>
      </c>
      <c r="G131" s="74"/>
      <c r="H131" s="74"/>
      <c r="I131" s="74"/>
      <c r="J131" s="74"/>
      <c r="K131" s="94">
        <f>G131+I131</f>
        <v>0</v>
      </c>
      <c r="L131" s="33">
        <f>0+K131</f>
        <v>0</v>
      </c>
      <c r="M131" s="34">
        <f t="shared" si="13"/>
        <v>0</v>
      </c>
      <c r="N131" s="35">
        <f t="shared" si="13"/>
        <v>6000</v>
      </c>
      <c r="O131" s="64">
        <v>0</v>
      </c>
      <c r="P131" s="65">
        <v>0</v>
      </c>
    </row>
    <row r="132" spans="1:19" ht="36.75" customHeight="1" thickBot="1">
      <c r="A132" s="110">
        <v>15</v>
      </c>
      <c r="B132" s="418" t="s">
        <v>194</v>
      </c>
      <c r="C132" s="418"/>
      <c r="D132" s="419"/>
      <c r="E132" s="73">
        <f>E133+E134</f>
        <v>0</v>
      </c>
      <c r="F132" s="73">
        <f>F133</f>
        <v>30000</v>
      </c>
      <c r="G132" s="75">
        <f>G133+G134</f>
        <v>0</v>
      </c>
      <c r="H132" s="74"/>
      <c r="I132" s="74"/>
      <c r="J132" s="74"/>
      <c r="K132" s="93">
        <f t="shared" si="12"/>
        <v>0</v>
      </c>
      <c r="L132" s="55">
        <f>L133+L134</f>
        <v>13440.82</v>
      </c>
      <c r="M132" s="56">
        <f t="shared" si="13"/>
        <v>0</v>
      </c>
      <c r="N132" s="70">
        <f t="shared" si="13"/>
        <v>16559.18</v>
      </c>
      <c r="O132" s="58">
        <v>0</v>
      </c>
      <c r="P132" s="59">
        <v>0</v>
      </c>
      <c r="Q132" s="1"/>
      <c r="R132" s="1"/>
      <c r="S132" s="1"/>
    </row>
    <row r="133" spans="1:19" ht="29.25" customHeight="1" thickBot="1">
      <c r="A133" s="60" t="s">
        <v>195</v>
      </c>
      <c r="B133" s="405" t="s">
        <v>53</v>
      </c>
      <c r="C133" s="406"/>
      <c r="D133" s="407"/>
      <c r="E133" s="155"/>
      <c r="F133" s="31">
        <f>30000+E133</f>
        <v>30000</v>
      </c>
      <c r="G133" s="74"/>
      <c r="H133" s="74"/>
      <c r="I133" s="74"/>
      <c r="J133" s="74"/>
      <c r="K133" s="94">
        <f t="shared" si="12"/>
        <v>0</v>
      </c>
      <c r="L133" s="33">
        <f>13440.82+K133</f>
        <v>13440.82</v>
      </c>
      <c r="M133" s="34">
        <f t="shared" si="13"/>
        <v>0</v>
      </c>
      <c r="N133" s="35">
        <f t="shared" si="13"/>
        <v>16559.18</v>
      </c>
      <c r="O133" s="64">
        <v>0</v>
      </c>
      <c r="P133" s="65">
        <v>0</v>
      </c>
      <c r="Q133" s="1"/>
      <c r="R133" s="1"/>
      <c r="S133" s="1"/>
    </row>
    <row r="134" spans="1:19" ht="32.25" customHeight="1" thickBot="1">
      <c r="A134" s="60" t="s">
        <v>196</v>
      </c>
      <c r="B134" s="405" t="s">
        <v>104</v>
      </c>
      <c r="C134" s="406"/>
      <c r="D134" s="407"/>
      <c r="E134" s="61"/>
      <c r="F134" s="31"/>
      <c r="G134" s="74"/>
      <c r="H134" s="74"/>
      <c r="I134" s="74"/>
      <c r="J134" s="74"/>
      <c r="K134" s="94">
        <f t="shared" si="12"/>
        <v>0</v>
      </c>
      <c r="L134" s="33">
        <f>0+K134</f>
        <v>0</v>
      </c>
      <c r="M134" s="34">
        <f t="shared" si="13"/>
        <v>0</v>
      </c>
      <c r="N134" s="35">
        <f t="shared" si="13"/>
        <v>0</v>
      </c>
      <c r="O134" s="64">
        <v>0</v>
      </c>
      <c r="P134" s="65">
        <v>0</v>
      </c>
      <c r="Q134" s="1"/>
      <c r="R134" s="1"/>
      <c r="S134" s="1"/>
    </row>
    <row r="135" spans="1:19" ht="31.5" customHeight="1" thickBot="1">
      <c r="A135" s="111">
        <v>16</v>
      </c>
      <c r="B135" s="418" t="s">
        <v>197</v>
      </c>
      <c r="C135" s="418"/>
      <c r="D135" s="419"/>
      <c r="E135" s="31">
        <v>0</v>
      </c>
      <c r="F135" s="73">
        <f>F136</f>
        <v>0</v>
      </c>
      <c r="G135" s="75">
        <f>G136+G137</f>
        <v>0</v>
      </c>
      <c r="H135" s="74"/>
      <c r="I135" s="74"/>
      <c r="J135" s="74"/>
      <c r="K135" s="93">
        <f t="shared" si="12"/>
        <v>0</v>
      </c>
      <c r="L135" s="55">
        <f>0+K135</f>
        <v>0</v>
      </c>
      <c r="M135" s="56">
        <f t="shared" si="13"/>
        <v>0</v>
      </c>
      <c r="N135" s="70">
        <f t="shared" si="13"/>
        <v>0</v>
      </c>
      <c r="O135" s="58">
        <v>0</v>
      </c>
      <c r="P135" s="59">
        <v>0</v>
      </c>
      <c r="Q135" s="1"/>
      <c r="R135" s="1"/>
      <c r="S135" s="1"/>
    </row>
    <row r="136" spans="1:19" ht="34.5" customHeight="1" thickBot="1">
      <c r="A136" s="60" t="s">
        <v>198</v>
      </c>
      <c r="B136" s="405" t="s">
        <v>53</v>
      </c>
      <c r="C136" s="406"/>
      <c r="D136" s="407"/>
      <c r="E136" s="61"/>
      <c r="F136" s="31">
        <v>0</v>
      </c>
      <c r="G136" s="74"/>
      <c r="H136" s="74"/>
      <c r="I136" s="74"/>
      <c r="J136" s="74"/>
      <c r="K136" s="94">
        <f t="shared" si="12"/>
        <v>0</v>
      </c>
      <c r="L136" s="33">
        <f>0+K136</f>
        <v>0</v>
      </c>
      <c r="M136" s="34">
        <f t="shared" si="13"/>
        <v>0</v>
      </c>
      <c r="N136" s="35">
        <f t="shared" si="13"/>
        <v>0</v>
      </c>
      <c r="O136" s="64">
        <v>0</v>
      </c>
      <c r="P136" s="65">
        <v>0</v>
      </c>
      <c r="Q136" s="1"/>
      <c r="R136" s="1"/>
      <c r="S136" s="1"/>
    </row>
    <row r="137" spans="1:19" ht="41.25" customHeight="1" thickBot="1">
      <c r="A137" s="60" t="s">
        <v>199</v>
      </c>
      <c r="B137" s="405" t="s">
        <v>104</v>
      </c>
      <c r="C137" s="406"/>
      <c r="D137" s="407"/>
      <c r="E137" s="61"/>
      <c r="F137" s="31"/>
      <c r="G137" s="74"/>
      <c r="H137" s="74"/>
      <c r="I137" s="74"/>
      <c r="J137" s="74"/>
      <c r="K137" s="94">
        <f t="shared" si="12"/>
        <v>0</v>
      </c>
      <c r="L137" s="33">
        <f>0+K137</f>
        <v>0</v>
      </c>
      <c r="M137" s="34">
        <f t="shared" si="13"/>
        <v>0</v>
      </c>
      <c r="N137" s="35">
        <f t="shared" si="13"/>
        <v>0</v>
      </c>
      <c r="O137" s="64">
        <v>0</v>
      </c>
      <c r="P137" s="65">
        <v>0</v>
      </c>
      <c r="Q137" s="1"/>
      <c r="R137" s="1"/>
      <c r="S137" s="1"/>
    </row>
    <row r="138" spans="1:19" ht="47.25" customHeight="1" thickBot="1">
      <c r="A138" s="110">
        <v>17</v>
      </c>
      <c r="B138" s="418" t="s">
        <v>200</v>
      </c>
      <c r="C138" s="418"/>
      <c r="D138" s="419"/>
      <c r="E138" s="73">
        <v>0</v>
      </c>
      <c r="F138" s="73">
        <f>F139</f>
        <v>5504</v>
      </c>
      <c r="G138" s="75">
        <f>G139+G140</f>
        <v>0</v>
      </c>
      <c r="H138" s="75"/>
      <c r="I138" s="75"/>
      <c r="J138" s="75"/>
      <c r="K138" s="93">
        <f t="shared" si="12"/>
        <v>0</v>
      </c>
      <c r="L138" s="55">
        <f>L139</f>
        <v>23504</v>
      </c>
      <c r="M138" s="56">
        <f t="shared" si="13"/>
        <v>0</v>
      </c>
      <c r="N138" s="70">
        <f t="shared" si="13"/>
        <v>-18000</v>
      </c>
      <c r="O138" s="58">
        <v>0</v>
      </c>
      <c r="P138" s="59">
        <v>0</v>
      </c>
      <c r="Q138" s="1"/>
      <c r="R138" s="1"/>
      <c r="S138" s="1"/>
    </row>
    <row r="139" spans="1:19" ht="27" customHeight="1" thickBot="1">
      <c r="A139" s="60" t="s">
        <v>201</v>
      </c>
      <c r="B139" s="405" t="s">
        <v>53</v>
      </c>
      <c r="C139" s="406"/>
      <c r="D139" s="407"/>
      <c r="E139" s="61"/>
      <c r="F139" s="31">
        <f>5504+E139</f>
        <v>5504</v>
      </c>
      <c r="G139" s="74"/>
      <c r="H139" s="74"/>
      <c r="I139" s="74"/>
      <c r="J139" s="74"/>
      <c r="K139" s="94">
        <f t="shared" si="12"/>
        <v>0</v>
      </c>
      <c r="L139" s="33">
        <f>23504+K139</f>
        <v>23504</v>
      </c>
      <c r="M139" s="34">
        <f t="shared" si="13"/>
        <v>0</v>
      </c>
      <c r="N139" s="35">
        <f t="shared" si="13"/>
        <v>-18000</v>
      </c>
      <c r="O139" s="64">
        <v>0</v>
      </c>
      <c r="P139" s="65">
        <v>0</v>
      </c>
      <c r="Q139" s="1"/>
      <c r="R139" s="1"/>
      <c r="S139" s="1"/>
    </row>
    <row r="140" spans="1:19" ht="29.25" customHeight="1" thickBot="1">
      <c r="A140" s="60" t="s">
        <v>202</v>
      </c>
      <c r="B140" s="405" t="s">
        <v>104</v>
      </c>
      <c r="C140" s="406"/>
      <c r="D140" s="407"/>
      <c r="E140" s="61"/>
      <c r="F140" s="31"/>
      <c r="G140" s="74"/>
      <c r="H140" s="74"/>
      <c r="I140" s="74"/>
      <c r="J140" s="74"/>
      <c r="K140" s="94">
        <f t="shared" si="12"/>
        <v>0</v>
      </c>
      <c r="L140" s="33">
        <f>0+K140</f>
        <v>0</v>
      </c>
      <c r="M140" s="34">
        <f t="shared" si="13"/>
        <v>0</v>
      </c>
      <c r="N140" s="35">
        <f t="shared" si="13"/>
        <v>0</v>
      </c>
      <c r="O140" s="64">
        <v>0</v>
      </c>
      <c r="P140" s="65">
        <v>0</v>
      </c>
      <c r="Q140" s="1"/>
      <c r="R140" s="1"/>
      <c r="S140" s="1"/>
    </row>
    <row r="141" spans="1:19" ht="22.5" customHeight="1" thickBot="1">
      <c r="A141" s="110">
        <v>18</v>
      </c>
      <c r="B141" s="424" t="s">
        <v>42</v>
      </c>
      <c r="C141" s="424"/>
      <c r="D141" s="425"/>
      <c r="E141" s="31">
        <v>0</v>
      </c>
      <c r="F141" s="31"/>
      <c r="G141" s="74"/>
      <c r="H141" s="74"/>
      <c r="I141" s="74"/>
      <c r="J141" s="75">
        <v>142123.15</v>
      </c>
      <c r="K141" s="93">
        <f>J141</f>
        <v>142123.15</v>
      </c>
      <c r="L141" s="55">
        <f>420033.9+K141</f>
        <v>562157.05</v>
      </c>
      <c r="M141" s="56">
        <f t="shared" si="13"/>
        <v>-142123.15</v>
      </c>
      <c r="N141" s="70">
        <f t="shared" si="13"/>
        <v>-562157.05</v>
      </c>
      <c r="O141" s="58">
        <v>0</v>
      </c>
      <c r="P141" s="59">
        <v>0</v>
      </c>
      <c r="Q141" s="1"/>
      <c r="R141" s="1"/>
      <c r="S141" s="1"/>
    </row>
    <row r="142" spans="1:19" ht="59.25" customHeight="1" thickBot="1">
      <c r="A142" s="112"/>
      <c r="B142" s="488" t="s">
        <v>203</v>
      </c>
      <c r="C142" s="488"/>
      <c r="D142" s="488"/>
      <c r="E142" s="488"/>
      <c r="F142" s="113"/>
      <c r="G142" s="113" t="s">
        <v>4</v>
      </c>
      <c r="H142" s="175" t="s">
        <v>5</v>
      </c>
      <c r="I142" s="338" t="s">
        <v>6</v>
      </c>
      <c r="J142" s="339"/>
      <c r="K142" s="8" t="s">
        <v>11</v>
      </c>
      <c r="L142" s="7" t="s">
        <v>8</v>
      </c>
      <c r="M142" s="7" t="s">
        <v>9</v>
      </c>
      <c r="N142" s="115" t="s">
        <v>10</v>
      </c>
      <c r="O142" s="116"/>
      <c r="P142" s="178"/>
      <c r="Q142" s="1"/>
      <c r="R142" s="1"/>
      <c r="S142" s="1"/>
    </row>
    <row r="143" spans="1:19" ht="23.25" customHeight="1" thickBot="1">
      <c r="A143" s="118"/>
      <c r="B143" s="488" t="s">
        <v>12</v>
      </c>
      <c r="C143" s="488"/>
      <c r="D143" s="488"/>
      <c r="E143" s="489"/>
      <c r="F143" s="119"/>
      <c r="G143" s="119">
        <v>0</v>
      </c>
      <c r="H143" s="4">
        <v>0</v>
      </c>
      <c r="I143" s="330">
        <v>0</v>
      </c>
      <c r="J143" s="331"/>
      <c r="K143" s="120"/>
      <c r="L143" s="4">
        <v>0</v>
      </c>
      <c r="M143" s="176">
        <v>0</v>
      </c>
      <c r="N143" s="176">
        <v>0</v>
      </c>
      <c r="O143" s="4"/>
      <c r="P143" s="4">
        <v>0</v>
      </c>
      <c r="Q143" s="1"/>
      <c r="R143" s="1"/>
      <c r="S143" s="1"/>
    </row>
    <row r="144" spans="1:19" ht="27" customHeight="1" thickBot="1">
      <c r="A144" s="112"/>
      <c r="B144" s="488" t="s">
        <v>13</v>
      </c>
      <c r="C144" s="488"/>
      <c r="D144" s="488"/>
      <c r="E144" s="489"/>
      <c r="F144" s="4"/>
      <c r="G144" s="4">
        <f>F10+G17-G32-G36-G40-G45-G55-G65-G68-G72-G75-G79-G89-G102-G133-G136-G139-G81</f>
        <v>-246750.29999999996</v>
      </c>
      <c r="H144" s="4">
        <f>G18+H10-H29</f>
        <v>2700.600000000093</v>
      </c>
      <c r="I144" s="330">
        <f>I10+G19-I104-I66-I97-I76</f>
        <v>0</v>
      </c>
      <c r="J144" s="331"/>
      <c r="K144" s="120">
        <f>O10+G22-J54</f>
        <v>53230.32</v>
      </c>
      <c r="L144" s="4">
        <f>L10+G23-J141</f>
        <v>193561.49000000002</v>
      </c>
      <c r="M144" s="176">
        <v>0</v>
      </c>
      <c r="N144" s="4">
        <v>0</v>
      </c>
      <c r="O144" s="121"/>
      <c r="P144" s="4">
        <f>SUM(G144:O144)</f>
        <v>2742.1100000001607</v>
      </c>
      <c r="Q144" s="1"/>
      <c r="R144" s="80"/>
      <c r="S144" s="37"/>
    </row>
    <row r="145" spans="1:19" ht="24.75" customHeight="1" thickBot="1">
      <c r="A145" s="122"/>
      <c r="B145" s="323" t="s">
        <v>222</v>
      </c>
      <c r="C145" s="323"/>
      <c r="D145" s="323"/>
      <c r="E145" s="324"/>
      <c r="F145" s="325"/>
      <c r="G145" s="325"/>
      <c r="H145" s="325"/>
      <c r="I145" s="325"/>
      <c r="J145" s="325"/>
      <c r="K145" s="325"/>
      <c r="L145" s="325"/>
      <c r="M145" s="325"/>
      <c r="N145" s="484"/>
      <c r="O145" s="485"/>
      <c r="P145" s="123">
        <f>P144</f>
        <v>2742.1100000001607</v>
      </c>
      <c r="Q145" s="1"/>
      <c r="R145" s="37"/>
      <c r="S145" s="37"/>
    </row>
    <row r="146" spans="1:19" ht="15">
      <c r="A146" s="1"/>
      <c r="B146" s="124"/>
      <c r="C146" s="124"/>
      <c r="D146" s="124"/>
      <c r="E146" s="124"/>
      <c r="F146" s="125"/>
      <c r="G146" s="125"/>
      <c r="H146" s="125"/>
      <c r="I146" s="125"/>
      <c r="J146" s="125"/>
      <c r="K146" s="126"/>
      <c r="L146" s="125"/>
      <c r="M146" s="125"/>
      <c r="N146" s="125"/>
      <c r="O146" s="127"/>
      <c r="P146" s="128"/>
      <c r="Q146" s="1"/>
      <c r="R146" s="37"/>
      <c r="S146" s="1"/>
    </row>
    <row r="147" spans="1:19" ht="15">
      <c r="A147" s="1"/>
      <c r="B147" s="486" t="s">
        <v>204</v>
      </c>
      <c r="C147" s="486"/>
      <c r="D147" s="486"/>
      <c r="E147" s="486"/>
      <c r="F147" s="486"/>
      <c r="G147" s="486"/>
      <c r="H147" s="486"/>
      <c r="I147" s="486"/>
      <c r="J147" s="486"/>
      <c r="K147" s="486"/>
      <c r="L147" s="486"/>
      <c r="M147" s="486"/>
      <c r="N147" s="486"/>
      <c r="O147" s="487" t="s">
        <v>205</v>
      </c>
      <c r="P147" s="487"/>
      <c r="Q147" s="1"/>
      <c r="R147" s="80"/>
      <c r="S147" s="37"/>
    </row>
    <row r="148" spans="1:19" ht="15">
      <c r="A148" s="1"/>
      <c r="B148" s="486" t="s">
        <v>206</v>
      </c>
      <c r="C148" s="486"/>
      <c r="D148" s="486"/>
      <c r="E148" s="486"/>
      <c r="F148" s="486"/>
      <c r="G148" s="486"/>
      <c r="H148" s="486"/>
      <c r="I148" s="486"/>
      <c r="J148" s="486"/>
      <c r="K148" s="486"/>
      <c r="L148" s="486"/>
      <c r="M148" s="486"/>
      <c r="N148" s="486"/>
      <c r="O148" s="486" t="s">
        <v>207</v>
      </c>
      <c r="P148" s="486"/>
      <c r="Q148" s="1"/>
      <c r="R148" s="1"/>
      <c r="S148" s="1"/>
    </row>
    <row r="149" spans="1:19" ht="15">
      <c r="A149" s="1"/>
      <c r="B149" s="173"/>
      <c r="C149" s="173"/>
      <c r="D149" s="173"/>
      <c r="E149" s="173"/>
      <c r="F149" s="173"/>
      <c r="G149" s="173"/>
      <c r="H149" s="173"/>
      <c r="I149" s="173"/>
      <c r="J149" s="130"/>
      <c r="K149" s="131"/>
      <c r="L149" s="130"/>
      <c r="M149" s="173"/>
      <c r="N149" s="173"/>
      <c r="O149" s="173"/>
      <c r="P149" s="130"/>
      <c r="Q149" s="1"/>
      <c r="R149" s="37"/>
      <c r="S149" s="1"/>
    </row>
    <row r="151" spans="1:19" ht="15">
      <c r="A151" s="1"/>
      <c r="B151" s="1"/>
      <c r="C151" s="1"/>
      <c r="D151" s="1"/>
      <c r="E151" s="1"/>
      <c r="F151" s="1"/>
      <c r="G151" s="1"/>
      <c r="H151" s="1"/>
      <c r="I151" s="132"/>
      <c r="J151" s="1"/>
      <c r="K151" s="1"/>
      <c r="L151" s="1"/>
      <c r="M151" s="1"/>
      <c r="N151" s="1"/>
      <c r="O151" s="1"/>
      <c r="P151" s="1"/>
      <c r="Q151" s="1"/>
      <c r="R151" s="37"/>
      <c r="S151" s="1"/>
    </row>
    <row r="152" spans="1:19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37"/>
      <c r="S152" s="1"/>
    </row>
    <row r="153" spans="1:19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7"/>
      <c r="O153" s="1"/>
      <c r="P153" s="1"/>
      <c r="Q153" s="1"/>
      <c r="R153" s="1"/>
      <c r="S153" s="1"/>
    </row>
    <row r="154" spans="12:16" ht="15">
      <c r="L154" s="1"/>
      <c r="M154" s="1"/>
      <c r="N154" s="37"/>
      <c r="O154" s="1"/>
      <c r="P154" s="37"/>
    </row>
    <row r="155" spans="12:16" ht="15">
      <c r="L155" s="1"/>
      <c r="M155" s="1"/>
      <c r="N155" s="133"/>
      <c r="O155" s="1"/>
      <c r="P155" s="37"/>
    </row>
    <row r="156" spans="12:16" ht="15">
      <c r="L156" s="37"/>
      <c r="M156" s="1"/>
      <c r="N156" s="1"/>
      <c r="O156" s="1"/>
      <c r="P156" s="1"/>
    </row>
    <row r="157" spans="12:16" ht="15">
      <c r="L157" s="37"/>
      <c r="M157" s="37"/>
      <c r="N157" s="1"/>
      <c r="O157" s="1"/>
      <c r="P157" s="1"/>
    </row>
  </sheetData>
  <sheetProtection/>
  <mergeCells count="203">
    <mergeCell ref="B145:E145"/>
    <mergeCell ref="F145:O145"/>
    <mergeCell ref="B147:E147"/>
    <mergeCell ref="F147:N147"/>
    <mergeCell ref="O147:P147"/>
    <mergeCell ref="B148:E148"/>
    <mergeCell ref="F148:N148"/>
    <mergeCell ref="O148:P148"/>
    <mergeCell ref="B141:D141"/>
    <mergeCell ref="B142:E142"/>
    <mergeCell ref="I142:J142"/>
    <mergeCell ref="B143:E143"/>
    <mergeCell ref="I143:J143"/>
    <mergeCell ref="B144:E144"/>
    <mergeCell ref="I144:J144"/>
    <mergeCell ref="B135:D135"/>
    <mergeCell ref="B136:D136"/>
    <mergeCell ref="B137:D137"/>
    <mergeCell ref="B138:D138"/>
    <mergeCell ref="B139:D139"/>
    <mergeCell ref="B140:D140"/>
    <mergeCell ref="B129:D129"/>
    <mergeCell ref="B130:D130"/>
    <mergeCell ref="B131:D131"/>
    <mergeCell ref="B132:D132"/>
    <mergeCell ref="B133:D133"/>
    <mergeCell ref="B134:D134"/>
    <mergeCell ref="O123:O124"/>
    <mergeCell ref="P123:P124"/>
    <mergeCell ref="B125:D125"/>
    <mergeCell ref="B126:D126"/>
    <mergeCell ref="B127:D127"/>
    <mergeCell ref="B128:D128"/>
    <mergeCell ref="B119:D119"/>
    <mergeCell ref="B120:D120"/>
    <mergeCell ref="B121:P122"/>
    <mergeCell ref="B123:D124"/>
    <mergeCell ref="E123:E124"/>
    <mergeCell ref="F123:F124"/>
    <mergeCell ref="G123:K123"/>
    <mergeCell ref="L123:L124"/>
    <mergeCell ref="M123:M124"/>
    <mergeCell ref="N123:N124"/>
    <mergeCell ref="B113:D113"/>
    <mergeCell ref="B114:D114"/>
    <mergeCell ref="B115:D115"/>
    <mergeCell ref="B116:D116"/>
    <mergeCell ref="B117:D117"/>
    <mergeCell ref="B118:D118"/>
    <mergeCell ref="B107:D107"/>
    <mergeCell ref="B108:D108"/>
    <mergeCell ref="B109:D109"/>
    <mergeCell ref="B110:D110"/>
    <mergeCell ref="B111:D111"/>
    <mergeCell ref="B112:D112"/>
    <mergeCell ref="B101:D101"/>
    <mergeCell ref="B102:D102"/>
    <mergeCell ref="B103:D103"/>
    <mergeCell ref="B104:D104"/>
    <mergeCell ref="B105:D105"/>
    <mergeCell ref="B106:D106"/>
    <mergeCell ref="B95:D95"/>
    <mergeCell ref="B96:D96"/>
    <mergeCell ref="B97:D97"/>
    <mergeCell ref="B98:D98"/>
    <mergeCell ref="B99:D99"/>
    <mergeCell ref="B100:D100"/>
    <mergeCell ref="B89:D89"/>
    <mergeCell ref="B90:D90"/>
    <mergeCell ref="B91:D91"/>
    <mergeCell ref="B92:D92"/>
    <mergeCell ref="B93:D93"/>
    <mergeCell ref="B94:D94"/>
    <mergeCell ref="M85:M86"/>
    <mergeCell ref="N85:N86"/>
    <mergeCell ref="O85:O86"/>
    <mergeCell ref="P85:P86"/>
    <mergeCell ref="B87:D87"/>
    <mergeCell ref="B88:D88"/>
    <mergeCell ref="A85:A86"/>
    <mergeCell ref="B85:D86"/>
    <mergeCell ref="E85:E86"/>
    <mergeCell ref="F85:F86"/>
    <mergeCell ref="G85:K85"/>
    <mergeCell ref="L85:L86"/>
    <mergeCell ref="B79:D79"/>
    <mergeCell ref="B80:D80"/>
    <mergeCell ref="B81:D81"/>
    <mergeCell ref="B82:D82"/>
    <mergeCell ref="A83:A84"/>
    <mergeCell ref="B83:P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2:D42"/>
    <mergeCell ref="B43:D43"/>
    <mergeCell ref="B44:D44"/>
    <mergeCell ref="B45:D45"/>
    <mergeCell ref="B46:D46"/>
    <mergeCell ref="B48:D48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M26:M27"/>
    <mergeCell ref="N26:N27"/>
    <mergeCell ref="O26:O27"/>
    <mergeCell ref="P26:P27"/>
    <mergeCell ref="B28:D28"/>
    <mergeCell ref="B29:D29"/>
    <mergeCell ref="B23:D23"/>
    <mergeCell ref="G23:J23"/>
    <mergeCell ref="A24:A25"/>
    <mergeCell ref="B24:P25"/>
    <mergeCell ref="A26:A27"/>
    <mergeCell ref="B26:D27"/>
    <mergeCell ref="E26:E27"/>
    <mergeCell ref="F26:F27"/>
    <mergeCell ref="G26:K26"/>
    <mergeCell ref="L26:L27"/>
    <mergeCell ref="B20:D20"/>
    <mergeCell ref="G20:J20"/>
    <mergeCell ref="B21:D21"/>
    <mergeCell ref="G21:J21"/>
    <mergeCell ref="B22:D22"/>
    <mergeCell ref="G22:J22"/>
    <mergeCell ref="B17:D17"/>
    <mergeCell ref="G17:J17"/>
    <mergeCell ref="B18:D18"/>
    <mergeCell ref="G18:J18"/>
    <mergeCell ref="B19:D19"/>
    <mergeCell ref="G19:J19"/>
    <mergeCell ref="P12:P13"/>
    <mergeCell ref="B14:D14"/>
    <mergeCell ref="G14:J14"/>
    <mergeCell ref="A15:A16"/>
    <mergeCell ref="B15:D16"/>
    <mergeCell ref="G15:J15"/>
    <mergeCell ref="G16:J16"/>
    <mergeCell ref="B11:E11"/>
    <mergeCell ref="F11:P11"/>
    <mergeCell ref="A12:A13"/>
    <mergeCell ref="B12:E13"/>
    <mergeCell ref="F12:F13"/>
    <mergeCell ref="G12:K13"/>
    <mergeCell ref="L12:L13"/>
    <mergeCell ref="M12:M13"/>
    <mergeCell ref="N12:N13"/>
    <mergeCell ref="O12:O13"/>
    <mergeCell ref="B10:E10"/>
    <mergeCell ref="F10:G10"/>
    <mergeCell ref="I10:J10"/>
    <mergeCell ref="B6:E6"/>
    <mergeCell ref="F6:O6"/>
    <mergeCell ref="B7:E7"/>
    <mergeCell ref="F7:P7"/>
    <mergeCell ref="B8:E8"/>
    <mergeCell ref="F8:G8"/>
    <mergeCell ref="I8:J8"/>
    <mergeCell ref="B1:P1"/>
    <mergeCell ref="B2:P2"/>
    <mergeCell ref="B3:P3"/>
    <mergeCell ref="B4:P4"/>
    <mergeCell ref="B5:E5"/>
    <mergeCell ref="F5:O5"/>
    <mergeCell ref="B9:E9"/>
    <mergeCell ref="F9:G9"/>
    <mergeCell ref="I9:J9"/>
  </mergeCells>
  <printOptions/>
  <pageMargins left="0" right="0" top="0.07874015748031496" bottom="0.07874015748031496" header="0.11811023622047245" footer="0.11811023622047245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57"/>
  <sheetViews>
    <sheetView zoomScalePageLayoutView="0" workbookViewId="0" topLeftCell="A160">
      <selection activeCell="R142" sqref="R142:R146"/>
    </sheetView>
  </sheetViews>
  <sheetFormatPr defaultColWidth="9.140625" defaultRowHeight="15"/>
  <cols>
    <col min="1" max="1" width="3.28125" style="2" customWidth="1"/>
    <col min="2" max="3" width="9.140625" style="2" customWidth="1"/>
    <col min="4" max="4" width="5.7109375" style="2" customWidth="1"/>
    <col min="5" max="7" width="12.7109375" style="2" customWidth="1"/>
    <col min="8" max="8" width="11.140625" style="2" customWidth="1"/>
    <col min="9" max="9" width="7.00390625" style="2" customWidth="1"/>
    <col min="10" max="10" width="11.00390625" style="2" customWidth="1"/>
    <col min="11" max="11" width="13.00390625" style="2" customWidth="1"/>
    <col min="12" max="12" width="12.8515625" style="2" customWidth="1"/>
    <col min="13" max="13" width="13.7109375" style="2" customWidth="1"/>
    <col min="14" max="14" width="12.7109375" style="2" customWidth="1"/>
    <col min="15" max="15" width="8.28125" style="2" customWidth="1"/>
    <col min="16" max="16" width="9.28125" style="2" customWidth="1"/>
    <col min="17" max="17" width="9.140625" style="2" customWidth="1"/>
    <col min="18" max="18" width="11.7109375" style="2" customWidth="1"/>
    <col min="19" max="19" width="11.140625" style="2" bestFit="1" customWidth="1"/>
    <col min="20" max="16384" width="9.140625" style="2" customWidth="1"/>
  </cols>
  <sheetData>
    <row r="1" spans="1:16" ht="15">
      <c r="A1" s="1"/>
      <c r="B1" s="318" t="s">
        <v>0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</row>
    <row r="2" spans="1:16" ht="15">
      <c r="A2" s="1"/>
      <c r="B2" s="319" t="s">
        <v>223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</row>
    <row r="3" spans="1:16" ht="15.75" thickBot="1">
      <c r="A3" s="1"/>
      <c r="B3" s="320" t="s">
        <v>1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</row>
    <row r="4" spans="1:16" ht="15.75" thickBot="1">
      <c r="A4" s="1"/>
      <c r="B4" s="321" t="s">
        <v>2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</row>
    <row r="5" spans="1:16" ht="25.5" customHeight="1" thickBot="1">
      <c r="A5" s="3"/>
      <c r="B5" s="322" t="s">
        <v>209</v>
      </c>
      <c r="C5" s="323"/>
      <c r="D5" s="323"/>
      <c r="E5" s="324"/>
      <c r="F5" s="325"/>
      <c r="G5" s="325"/>
      <c r="H5" s="325"/>
      <c r="I5" s="325"/>
      <c r="J5" s="325"/>
      <c r="K5" s="325"/>
      <c r="L5" s="325"/>
      <c r="M5" s="325"/>
      <c r="N5" s="325"/>
      <c r="O5" s="326"/>
      <c r="P5" s="4">
        <v>9380.24</v>
      </c>
    </row>
    <row r="6" spans="1:16" ht="24" customHeight="1" thickBot="1">
      <c r="A6" s="3"/>
      <c r="B6" s="322" t="s">
        <v>224</v>
      </c>
      <c r="C6" s="323"/>
      <c r="D6" s="323"/>
      <c r="E6" s="324"/>
      <c r="F6" s="325"/>
      <c r="G6" s="325"/>
      <c r="H6" s="325"/>
      <c r="I6" s="325"/>
      <c r="J6" s="325"/>
      <c r="K6" s="325"/>
      <c r="L6" s="325"/>
      <c r="M6" s="325"/>
      <c r="N6" s="325"/>
      <c r="O6" s="326"/>
      <c r="P6" s="190">
        <f>P10</f>
        <v>2742.110000000008</v>
      </c>
    </row>
    <row r="7" spans="1:16" ht="15.75" thickBot="1">
      <c r="A7" s="3"/>
      <c r="B7" s="332"/>
      <c r="C7" s="333"/>
      <c r="D7" s="333"/>
      <c r="E7" s="334"/>
      <c r="F7" s="335"/>
      <c r="G7" s="335"/>
      <c r="H7" s="335"/>
      <c r="I7" s="335"/>
      <c r="J7" s="335"/>
      <c r="K7" s="335"/>
      <c r="L7" s="335"/>
      <c r="M7" s="335"/>
      <c r="N7" s="336"/>
      <c r="O7" s="336"/>
      <c r="P7" s="337"/>
    </row>
    <row r="8" spans="1:16" ht="75.75" thickBot="1">
      <c r="A8" s="6"/>
      <c r="B8" s="322" t="s">
        <v>3</v>
      </c>
      <c r="C8" s="323"/>
      <c r="D8" s="323"/>
      <c r="E8" s="324"/>
      <c r="F8" s="338" t="s">
        <v>4</v>
      </c>
      <c r="G8" s="339"/>
      <c r="H8" s="7" t="s">
        <v>5</v>
      </c>
      <c r="I8" s="338" t="s">
        <v>6</v>
      </c>
      <c r="J8" s="339"/>
      <c r="K8" s="8" t="s">
        <v>7</v>
      </c>
      <c r="L8" s="7" t="s">
        <v>8</v>
      </c>
      <c r="M8" s="192" t="s">
        <v>9</v>
      </c>
      <c r="N8" s="201" t="s">
        <v>10</v>
      </c>
      <c r="O8" s="11" t="s">
        <v>11</v>
      </c>
      <c r="P8" s="12"/>
    </row>
    <row r="9" spans="1:16" ht="15.75" thickBot="1">
      <c r="A9" s="3"/>
      <c r="B9" s="327" t="s">
        <v>12</v>
      </c>
      <c r="C9" s="328"/>
      <c r="D9" s="328"/>
      <c r="E9" s="329"/>
      <c r="F9" s="330">
        <v>0</v>
      </c>
      <c r="G9" s="331"/>
      <c r="H9" s="4">
        <v>0</v>
      </c>
      <c r="I9" s="330">
        <v>0</v>
      </c>
      <c r="J9" s="331"/>
      <c r="K9" s="13">
        <v>0</v>
      </c>
      <c r="L9" s="4">
        <v>0</v>
      </c>
      <c r="M9" s="189">
        <v>0</v>
      </c>
      <c r="N9" s="4">
        <v>0</v>
      </c>
      <c r="O9" s="15">
        <v>0</v>
      </c>
      <c r="P9" s="190">
        <v>0</v>
      </c>
    </row>
    <row r="10" spans="1:16" ht="27" customHeight="1" thickBot="1">
      <c r="A10" s="3"/>
      <c r="B10" s="327" t="s">
        <v>13</v>
      </c>
      <c r="C10" s="328"/>
      <c r="D10" s="328"/>
      <c r="E10" s="329"/>
      <c r="F10" s="330">
        <v>-246750.3</v>
      </c>
      <c r="G10" s="331"/>
      <c r="H10" s="4">
        <v>2700.6</v>
      </c>
      <c r="I10" s="330">
        <v>0</v>
      </c>
      <c r="J10" s="331"/>
      <c r="K10" s="13">
        <v>0</v>
      </c>
      <c r="L10" s="4">
        <v>193561.49</v>
      </c>
      <c r="M10" s="189">
        <v>0</v>
      </c>
      <c r="N10" s="4">
        <v>0</v>
      </c>
      <c r="O10" s="4">
        <v>53230.32</v>
      </c>
      <c r="P10" s="190">
        <f>SUM(F10:O10)</f>
        <v>2742.110000000008</v>
      </c>
    </row>
    <row r="11" spans="1:16" ht="20.25" customHeight="1" thickBot="1">
      <c r="A11" s="197"/>
      <c r="B11" s="360"/>
      <c r="C11" s="361"/>
      <c r="D11" s="361"/>
      <c r="E11" s="361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3"/>
    </row>
    <row r="12" spans="1:16" ht="15">
      <c r="A12" s="346"/>
      <c r="B12" s="364" t="s">
        <v>14</v>
      </c>
      <c r="C12" s="365"/>
      <c r="D12" s="365"/>
      <c r="E12" s="366"/>
      <c r="F12" s="340"/>
      <c r="G12" s="370" t="s">
        <v>15</v>
      </c>
      <c r="H12" s="362"/>
      <c r="I12" s="362"/>
      <c r="J12" s="362"/>
      <c r="K12" s="363"/>
      <c r="L12" s="340" t="s">
        <v>16</v>
      </c>
      <c r="M12" s="340" t="s">
        <v>17</v>
      </c>
      <c r="N12" s="340" t="s">
        <v>18</v>
      </c>
      <c r="O12" s="340" t="s">
        <v>19</v>
      </c>
      <c r="P12" s="340" t="s">
        <v>20</v>
      </c>
    </row>
    <row r="13" spans="1:16" ht="15.75" thickBot="1">
      <c r="A13" s="347"/>
      <c r="B13" s="367"/>
      <c r="C13" s="368"/>
      <c r="D13" s="368"/>
      <c r="E13" s="369"/>
      <c r="F13" s="341"/>
      <c r="G13" s="371"/>
      <c r="H13" s="372"/>
      <c r="I13" s="372"/>
      <c r="J13" s="372"/>
      <c r="K13" s="373"/>
      <c r="L13" s="341"/>
      <c r="M13" s="341"/>
      <c r="N13" s="341"/>
      <c r="O13" s="341"/>
      <c r="P13" s="341"/>
    </row>
    <row r="14" spans="1:16" ht="15.75" thickBot="1">
      <c r="A14" s="3"/>
      <c r="B14" s="342" t="s">
        <v>21</v>
      </c>
      <c r="C14" s="343"/>
      <c r="D14" s="344"/>
      <c r="E14" s="17" t="s">
        <v>22</v>
      </c>
      <c r="F14" s="196">
        <v>3</v>
      </c>
      <c r="G14" s="345">
        <v>4</v>
      </c>
      <c r="H14" s="335"/>
      <c r="I14" s="335"/>
      <c r="J14" s="337"/>
      <c r="K14" s="19">
        <v>5</v>
      </c>
      <c r="L14" s="195">
        <v>6</v>
      </c>
      <c r="M14" s="7">
        <v>7</v>
      </c>
      <c r="N14" s="195">
        <v>8</v>
      </c>
      <c r="O14" s="195">
        <v>9</v>
      </c>
      <c r="P14" s="7">
        <v>10</v>
      </c>
    </row>
    <row r="15" spans="1:16" ht="29.25" thickBot="1">
      <c r="A15" s="346"/>
      <c r="B15" s="348" t="s">
        <v>23</v>
      </c>
      <c r="C15" s="349"/>
      <c r="D15" s="350"/>
      <c r="E15" s="21" t="s">
        <v>24</v>
      </c>
      <c r="F15" s="21" t="s">
        <v>25</v>
      </c>
      <c r="G15" s="354" t="s">
        <v>26</v>
      </c>
      <c r="H15" s="355"/>
      <c r="I15" s="355"/>
      <c r="J15" s="356"/>
      <c r="K15" s="22" t="s">
        <v>27</v>
      </c>
      <c r="L15" s="23" t="s">
        <v>26</v>
      </c>
      <c r="M15" s="24" t="s">
        <v>28</v>
      </c>
      <c r="N15" s="24" t="s">
        <v>26</v>
      </c>
      <c r="O15" s="24" t="s">
        <v>26</v>
      </c>
      <c r="P15" s="25" t="s">
        <v>26</v>
      </c>
    </row>
    <row r="16" spans="1:16" ht="24" customHeight="1" thickBot="1">
      <c r="A16" s="347"/>
      <c r="B16" s="351"/>
      <c r="C16" s="352"/>
      <c r="D16" s="353"/>
      <c r="E16" s="26">
        <f>SUM(E17:E23)</f>
        <v>2281962</v>
      </c>
      <c r="F16" s="27">
        <f>SUM(F17:F23)</f>
        <v>8788606</v>
      </c>
      <c r="G16" s="357">
        <f>G17+G18+G19+G20+G21+G22+G23</f>
        <v>1367463.18</v>
      </c>
      <c r="H16" s="358"/>
      <c r="I16" s="358"/>
      <c r="J16" s="359"/>
      <c r="K16" s="199">
        <f>SUM(K17:K23)</f>
        <v>1367463.18</v>
      </c>
      <c r="L16" s="199">
        <f>SUM(L17:L23)</f>
        <v>8468666.84</v>
      </c>
      <c r="M16" s="199">
        <f>SUM(M17:M23)</f>
        <v>914498.8200000001</v>
      </c>
      <c r="N16" s="199">
        <f>SUM(N17:N23)</f>
        <v>319939.1599999991</v>
      </c>
      <c r="O16" s="29">
        <v>0</v>
      </c>
      <c r="P16" s="29">
        <v>0</v>
      </c>
    </row>
    <row r="17" spans="1:18" ht="58.5" customHeight="1" thickBot="1">
      <c r="A17" s="30" t="s">
        <v>29</v>
      </c>
      <c r="B17" s="383" t="s">
        <v>30</v>
      </c>
      <c r="C17" s="384"/>
      <c r="D17" s="385"/>
      <c r="E17" s="154">
        <v>1803179</v>
      </c>
      <c r="F17" s="31">
        <f>4810271+E17</f>
        <v>6613450</v>
      </c>
      <c r="G17" s="377">
        <v>785685.57</v>
      </c>
      <c r="H17" s="378"/>
      <c r="I17" s="378"/>
      <c r="J17" s="379"/>
      <c r="K17" s="200">
        <f>G17</f>
        <v>785685.57</v>
      </c>
      <c r="L17" s="33">
        <f>4831911.94+K17</f>
        <v>5617597.510000001</v>
      </c>
      <c r="M17" s="34">
        <f>E17-K17</f>
        <v>1017493.43</v>
      </c>
      <c r="N17" s="35">
        <f>F17-L17</f>
        <v>995852.4899999993</v>
      </c>
      <c r="O17" s="36">
        <v>0</v>
      </c>
      <c r="P17" s="36">
        <v>0</v>
      </c>
      <c r="Q17" s="1"/>
      <c r="R17" s="37"/>
    </row>
    <row r="18" spans="1:18" ht="39" customHeight="1" thickBot="1">
      <c r="A18" s="38" t="s">
        <v>31</v>
      </c>
      <c r="B18" s="386" t="s">
        <v>32</v>
      </c>
      <c r="C18" s="387"/>
      <c r="D18" s="388"/>
      <c r="E18" s="148">
        <v>472583</v>
      </c>
      <c r="F18" s="31">
        <f>1658373+E18</f>
        <v>2130956</v>
      </c>
      <c r="G18" s="377">
        <v>450650</v>
      </c>
      <c r="H18" s="378"/>
      <c r="I18" s="378"/>
      <c r="J18" s="379"/>
      <c r="K18" s="200">
        <f>G18</f>
        <v>450650</v>
      </c>
      <c r="L18" s="33">
        <f>1694430.2+K18</f>
        <v>2145080.2</v>
      </c>
      <c r="M18" s="34">
        <f>E18-K18</f>
        <v>21933</v>
      </c>
      <c r="N18" s="35">
        <f>F18-L18</f>
        <v>-14124.200000000186</v>
      </c>
      <c r="O18" s="36">
        <v>0</v>
      </c>
      <c r="P18" s="36">
        <v>0</v>
      </c>
      <c r="Q18" s="1"/>
      <c r="R18" s="1"/>
    </row>
    <row r="19" spans="1:18" ht="34.5" customHeight="1" thickBot="1">
      <c r="A19" s="38" t="s">
        <v>33</v>
      </c>
      <c r="B19" s="389" t="s">
        <v>34</v>
      </c>
      <c r="C19" s="390"/>
      <c r="D19" s="391"/>
      <c r="E19" s="39"/>
      <c r="F19" s="31">
        <f>0+E19</f>
        <v>0</v>
      </c>
      <c r="G19" s="377"/>
      <c r="H19" s="378"/>
      <c r="I19" s="378"/>
      <c r="J19" s="379"/>
      <c r="K19" s="200">
        <f>G19</f>
        <v>0</v>
      </c>
      <c r="L19" s="33">
        <f>0+K19</f>
        <v>0</v>
      </c>
      <c r="M19" s="34">
        <f aca="true" t="shared" si="0" ref="M19:N23">E19-K19</f>
        <v>0</v>
      </c>
      <c r="N19" s="35">
        <f t="shared" si="0"/>
        <v>0</v>
      </c>
      <c r="O19" s="36">
        <v>0</v>
      </c>
      <c r="P19" s="40">
        <v>0</v>
      </c>
      <c r="Q19" s="1"/>
      <c r="R19" s="1"/>
    </row>
    <row r="20" spans="1:18" ht="56.25" customHeight="1" thickBot="1">
      <c r="A20" s="41" t="s">
        <v>35</v>
      </c>
      <c r="B20" s="374" t="s">
        <v>36</v>
      </c>
      <c r="C20" s="375"/>
      <c r="D20" s="376"/>
      <c r="E20" s="42"/>
      <c r="F20" s="31">
        <f>0+E20</f>
        <v>0</v>
      </c>
      <c r="G20" s="377"/>
      <c r="H20" s="378"/>
      <c r="I20" s="378"/>
      <c r="J20" s="379"/>
      <c r="K20" s="200">
        <f>G20</f>
        <v>0</v>
      </c>
      <c r="L20" s="33">
        <f>0+K20</f>
        <v>0</v>
      </c>
      <c r="M20" s="34">
        <f t="shared" si="0"/>
        <v>0</v>
      </c>
      <c r="N20" s="35">
        <f t="shared" si="0"/>
        <v>0</v>
      </c>
      <c r="O20" s="36">
        <v>0</v>
      </c>
      <c r="P20" s="36">
        <v>0</v>
      </c>
      <c r="Q20" s="37"/>
      <c r="R20" s="37"/>
    </row>
    <row r="21" spans="1:18" ht="28.5" customHeight="1" thickBot="1">
      <c r="A21" s="43" t="s">
        <v>37</v>
      </c>
      <c r="B21" s="380" t="s">
        <v>38</v>
      </c>
      <c r="C21" s="381"/>
      <c r="D21" s="382"/>
      <c r="E21" s="44"/>
      <c r="F21" s="31">
        <f>0+E21</f>
        <v>0</v>
      </c>
      <c r="G21" s="377"/>
      <c r="H21" s="378"/>
      <c r="I21" s="378"/>
      <c r="J21" s="379"/>
      <c r="K21" s="200">
        <f>G21</f>
        <v>0</v>
      </c>
      <c r="L21" s="33">
        <f>0+K21</f>
        <v>0</v>
      </c>
      <c r="M21" s="34">
        <f t="shared" si="0"/>
        <v>0</v>
      </c>
      <c r="N21" s="35">
        <f t="shared" si="0"/>
        <v>0</v>
      </c>
      <c r="O21" s="36">
        <v>0</v>
      </c>
      <c r="P21" s="36">
        <v>0</v>
      </c>
      <c r="Q21" s="37"/>
      <c r="R21" s="1"/>
    </row>
    <row r="22" spans="1:18" ht="45" customHeight="1" thickBot="1">
      <c r="A22" s="43" t="s">
        <v>39</v>
      </c>
      <c r="B22" s="383" t="s">
        <v>40</v>
      </c>
      <c r="C22" s="384"/>
      <c r="D22" s="385"/>
      <c r="E22" s="149">
        <v>6200</v>
      </c>
      <c r="F22" s="31">
        <f>38000+E22</f>
        <v>44200</v>
      </c>
      <c r="G22" s="377">
        <v>4650.61</v>
      </c>
      <c r="H22" s="378"/>
      <c r="I22" s="378"/>
      <c r="J22" s="379"/>
      <c r="K22" s="200">
        <f>G22</f>
        <v>4650.61</v>
      </c>
      <c r="L22" s="33">
        <f>28381.98+K22</f>
        <v>33032.59</v>
      </c>
      <c r="M22" s="34">
        <f>E22-K22</f>
        <v>1549.3900000000003</v>
      </c>
      <c r="N22" s="35">
        <f t="shared" si="0"/>
        <v>11167.410000000003</v>
      </c>
      <c r="O22" s="36">
        <v>0</v>
      </c>
      <c r="P22" s="36">
        <v>0</v>
      </c>
      <c r="Q22" s="1"/>
      <c r="R22" s="1"/>
    </row>
    <row r="23" spans="1:18" ht="36.75" customHeight="1" thickBot="1">
      <c r="A23" s="43" t="s">
        <v>41</v>
      </c>
      <c r="B23" s="392" t="s">
        <v>42</v>
      </c>
      <c r="C23" s="393"/>
      <c r="D23" s="394"/>
      <c r="E23" s="46"/>
      <c r="F23" s="31"/>
      <c r="G23" s="377">
        <v>126477</v>
      </c>
      <c r="H23" s="378"/>
      <c r="I23" s="378"/>
      <c r="J23" s="379"/>
      <c r="K23" s="200">
        <f>G23</f>
        <v>126477</v>
      </c>
      <c r="L23" s="33">
        <f>546479.54+K23</f>
        <v>672956.54</v>
      </c>
      <c r="M23" s="34">
        <f t="shared" si="0"/>
        <v>-126477</v>
      </c>
      <c r="N23" s="35">
        <f t="shared" si="0"/>
        <v>-672956.54</v>
      </c>
      <c r="O23" s="36">
        <v>0</v>
      </c>
      <c r="P23" s="36">
        <v>0</v>
      </c>
      <c r="Q23" s="1"/>
      <c r="R23" s="1"/>
    </row>
    <row r="24" spans="1:18" ht="15">
      <c r="A24" s="346"/>
      <c r="B24" s="395" t="s">
        <v>43</v>
      </c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7"/>
      <c r="Q24" s="1"/>
      <c r="R24" s="1"/>
    </row>
    <row r="25" spans="1:18" ht="2.25" customHeight="1" thickBot="1">
      <c r="A25" s="347"/>
      <c r="B25" s="398"/>
      <c r="C25" s="399"/>
      <c r="D25" s="399"/>
      <c r="E25" s="399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400"/>
      <c r="Q25" s="1"/>
      <c r="R25" s="1"/>
    </row>
    <row r="26" spans="1:18" ht="15.75" thickBot="1">
      <c r="A26" s="346"/>
      <c r="B26" s="364" t="s">
        <v>14</v>
      </c>
      <c r="C26" s="365"/>
      <c r="D26" s="366"/>
      <c r="E26" s="401" t="s">
        <v>24</v>
      </c>
      <c r="F26" s="403" t="s">
        <v>25</v>
      </c>
      <c r="G26" s="338" t="s">
        <v>44</v>
      </c>
      <c r="H26" s="321"/>
      <c r="I26" s="321"/>
      <c r="J26" s="321"/>
      <c r="K26" s="339"/>
      <c r="L26" s="340" t="s">
        <v>16</v>
      </c>
      <c r="M26" s="340" t="s">
        <v>17</v>
      </c>
      <c r="N26" s="340" t="s">
        <v>18</v>
      </c>
      <c r="O26" s="340" t="s">
        <v>19</v>
      </c>
      <c r="P26" s="340" t="s">
        <v>20</v>
      </c>
      <c r="Q26" s="1"/>
      <c r="R26" s="1"/>
    </row>
    <row r="27" spans="1:18" ht="60" customHeight="1" thickBot="1">
      <c r="A27" s="347"/>
      <c r="B27" s="367"/>
      <c r="C27" s="368"/>
      <c r="D27" s="369"/>
      <c r="E27" s="402"/>
      <c r="F27" s="404"/>
      <c r="G27" s="191" t="s">
        <v>45</v>
      </c>
      <c r="H27" s="191" t="s">
        <v>46</v>
      </c>
      <c r="I27" s="191" t="s">
        <v>47</v>
      </c>
      <c r="J27" s="7" t="s">
        <v>48</v>
      </c>
      <c r="K27" s="8" t="s">
        <v>27</v>
      </c>
      <c r="L27" s="341"/>
      <c r="M27" s="341"/>
      <c r="N27" s="341"/>
      <c r="O27" s="341"/>
      <c r="P27" s="341"/>
      <c r="Q27" s="1"/>
      <c r="R27" s="37"/>
    </row>
    <row r="28" spans="1:18" ht="15.75" thickBot="1">
      <c r="A28" s="3"/>
      <c r="B28" s="342">
        <v>1</v>
      </c>
      <c r="C28" s="343"/>
      <c r="D28" s="344"/>
      <c r="E28" s="17" t="s">
        <v>22</v>
      </c>
      <c r="F28" s="191">
        <v>3</v>
      </c>
      <c r="G28" s="191">
        <v>4</v>
      </c>
      <c r="H28" s="191">
        <v>5</v>
      </c>
      <c r="I28" s="7">
        <v>6</v>
      </c>
      <c r="J28" s="7">
        <v>7</v>
      </c>
      <c r="K28" s="48">
        <v>8</v>
      </c>
      <c r="L28" s="195">
        <v>9</v>
      </c>
      <c r="M28" s="7">
        <v>10</v>
      </c>
      <c r="N28" s="195">
        <v>11</v>
      </c>
      <c r="O28" s="7">
        <v>12</v>
      </c>
      <c r="P28" s="195">
        <v>13</v>
      </c>
      <c r="Q28" s="1"/>
      <c r="R28" s="1"/>
    </row>
    <row r="29" spans="1:18" ht="21" customHeight="1" thickBot="1">
      <c r="A29" s="3"/>
      <c r="B29" s="345" t="s">
        <v>23</v>
      </c>
      <c r="C29" s="335"/>
      <c r="D29" s="337"/>
      <c r="E29" s="49">
        <f>E30+E34+E38+E44+E51+E54+E64+E67+E71+E74+E78+E80+E88+E101+E132+E135+E138+E141</f>
        <v>2281962</v>
      </c>
      <c r="F29" s="49">
        <f>F30+F34+F38+F44+F51+F54+F64+F67+F71+F74+F78+F80+F88+F101+F132+F135+F138+F141</f>
        <v>8794110</v>
      </c>
      <c r="G29" s="49">
        <f>G30+G34+G38+G44+G51+G54+G64+G67+G71+G74+G78+G80+G88+G101+G132+G135+G138+G141</f>
        <v>638895.11</v>
      </c>
      <c r="H29" s="49">
        <f>H30+H34+H38+H44+H51+H54+H64+H67+H71+H74+H78+H80+H88+H101+H132+H135+H138+H141</f>
        <v>0</v>
      </c>
      <c r="I29" s="49">
        <f>I30+I34+I38+I44+I51+I54+I64+I67+I71+I74+I78+I80+I88+I101+I132+I135+I138+I141</f>
        <v>0</v>
      </c>
      <c r="J29" s="49">
        <f>J30+J34+J38+J44+J51+J54+J64+J67+J71+J74+J78+J80+J88+J101+J132+J135+J138+J141</f>
        <v>170648.57</v>
      </c>
      <c r="K29" s="49">
        <f>K30+K34+K38+K44+K51+K54+K64+K67+K71+K74+K78+K80+K88+K101+K132+K135+K138+K141</f>
        <v>809543.6799999999</v>
      </c>
      <c r="L29" s="49">
        <f>L30+L34+L38+L44+L51+L54+L64+L67+L71+L74+L78+L80+L88+L101+L132+L135+L138+L141</f>
        <v>7917385.47</v>
      </c>
      <c r="M29" s="49">
        <f>M30+M34+M38+M44+M51+M54+M64+M67+M71+M74+M78+M80+M88+M101+M132+M135+M138+M141</f>
        <v>1472418.32</v>
      </c>
      <c r="N29" s="49">
        <f>N30+N34+N38+N44+N51+N54+N64+N67+N71+N74+N78+N80+N88+N101+N132+N135+N138+N141</f>
        <v>876724.53</v>
      </c>
      <c r="O29" s="50">
        <v>0</v>
      </c>
      <c r="P29" s="50">
        <v>0</v>
      </c>
      <c r="Q29" s="1"/>
      <c r="R29" s="37"/>
    </row>
    <row r="30" spans="1:18" ht="21" customHeight="1" thickBot="1">
      <c r="A30" s="51" t="s">
        <v>21</v>
      </c>
      <c r="B30" s="417" t="s">
        <v>49</v>
      </c>
      <c r="C30" s="418"/>
      <c r="D30" s="419"/>
      <c r="E30" s="52">
        <f>SUM(E31:E32)</f>
        <v>826803</v>
      </c>
      <c r="F30" s="53">
        <f>F31+F32+F33</f>
        <v>3934011</v>
      </c>
      <c r="G30" s="54">
        <f>G31+G32+G33</f>
        <v>236744.21</v>
      </c>
      <c r="H30" s="54">
        <f>H31</f>
        <v>0</v>
      </c>
      <c r="I30" s="54"/>
      <c r="J30" s="54"/>
      <c r="K30" s="53">
        <f>G30+H30</f>
        <v>236744.21</v>
      </c>
      <c r="L30" s="55">
        <f>L31+L32</f>
        <v>3258911.25</v>
      </c>
      <c r="M30" s="56">
        <f>E30-K30</f>
        <v>590058.79</v>
      </c>
      <c r="N30" s="57">
        <f>F30-L30</f>
        <v>675099.75</v>
      </c>
      <c r="O30" s="58">
        <v>0</v>
      </c>
      <c r="P30" s="59">
        <v>0</v>
      </c>
      <c r="Q30" s="37"/>
      <c r="R30" s="37"/>
    </row>
    <row r="31" spans="1:18" ht="22.5" customHeight="1" thickBot="1">
      <c r="A31" s="60" t="s">
        <v>50</v>
      </c>
      <c r="B31" s="411" t="s">
        <v>51</v>
      </c>
      <c r="C31" s="412"/>
      <c r="D31" s="413"/>
      <c r="E31" s="187">
        <v>393164</v>
      </c>
      <c r="F31" s="31">
        <f>1379678+E31</f>
        <v>1772842</v>
      </c>
      <c r="G31" s="62"/>
      <c r="H31" s="62"/>
      <c r="I31" s="62"/>
      <c r="J31" s="62"/>
      <c r="K31" s="45">
        <f>H31</f>
        <v>0</v>
      </c>
      <c r="L31" s="33">
        <f>1406973.49+K31</f>
        <v>1406973.49</v>
      </c>
      <c r="M31" s="34">
        <f>E31-K31</f>
        <v>393164</v>
      </c>
      <c r="N31" s="63">
        <f>F31-L31</f>
        <v>365868.51</v>
      </c>
      <c r="O31" s="64">
        <v>0</v>
      </c>
      <c r="P31" s="65">
        <v>0</v>
      </c>
      <c r="Q31" s="37"/>
      <c r="R31" s="37"/>
    </row>
    <row r="32" spans="1:18" ht="27.75" customHeight="1" thickBot="1">
      <c r="A32" s="60" t="s">
        <v>52</v>
      </c>
      <c r="B32" s="405" t="s">
        <v>53</v>
      </c>
      <c r="C32" s="406"/>
      <c r="D32" s="407"/>
      <c r="E32" s="187">
        <v>433639</v>
      </c>
      <c r="F32" s="31">
        <f>1727530+E32</f>
        <v>2161169</v>
      </c>
      <c r="G32" s="62">
        <v>236744.21</v>
      </c>
      <c r="H32" s="62"/>
      <c r="I32" s="62"/>
      <c r="J32" s="62"/>
      <c r="K32" s="33">
        <f>0+G32</f>
        <v>236744.21</v>
      </c>
      <c r="L32" s="33">
        <f>1615193.55+K32</f>
        <v>1851937.76</v>
      </c>
      <c r="M32" s="34">
        <f>E32-K32</f>
        <v>196894.79</v>
      </c>
      <c r="N32" s="63">
        <f>F32-L32</f>
        <v>309231.24</v>
      </c>
      <c r="O32" s="64">
        <v>0</v>
      </c>
      <c r="P32" s="65">
        <v>0</v>
      </c>
      <c r="Q32" s="37"/>
      <c r="R32" s="37"/>
    </row>
    <row r="33" spans="1:18" ht="27.75" customHeight="1" thickBot="1">
      <c r="A33" s="60" t="s">
        <v>54</v>
      </c>
      <c r="B33" s="405" t="s">
        <v>55</v>
      </c>
      <c r="C33" s="406"/>
      <c r="D33" s="407"/>
      <c r="E33" s="66"/>
      <c r="F33" s="33"/>
      <c r="G33" s="62"/>
      <c r="H33" s="62"/>
      <c r="I33" s="62"/>
      <c r="J33" s="62"/>
      <c r="K33" s="45"/>
      <c r="L33" s="33"/>
      <c r="M33" s="67"/>
      <c r="N33" s="68"/>
      <c r="O33" s="64"/>
      <c r="P33" s="65"/>
      <c r="Q33" s="37"/>
      <c r="R33" s="37"/>
    </row>
    <row r="34" spans="1:18" ht="30" customHeight="1" thickBot="1">
      <c r="A34" s="69" t="s">
        <v>22</v>
      </c>
      <c r="B34" s="408" t="s">
        <v>56</v>
      </c>
      <c r="C34" s="409"/>
      <c r="D34" s="410"/>
      <c r="E34" s="53">
        <f>SUM(E35:E37)</f>
        <v>167014</v>
      </c>
      <c r="F34" s="53">
        <f>F35+F36+F37</f>
        <v>794670</v>
      </c>
      <c r="G34" s="54">
        <f>G35+G36+G37</f>
        <v>0</v>
      </c>
      <c r="H34" s="54">
        <f>H35</f>
        <v>0</v>
      </c>
      <c r="I34" s="54"/>
      <c r="J34" s="54"/>
      <c r="K34" s="53">
        <f>G34+H34</f>
        <v>0</v>
      </c>
      <c r="L34" s="55">
        <f>L35+L36</f>
        <v>645033.08</v>
      </c>
      <c r="M34" s="56">
        <f aca="true" t="shared" si="1" ref="M34:N36">E34-K34</f>
        <v>167014</v>
      </c>
      <c r="N34" s="70">
        <f t="shared" si="1"/>
        <v>149636.92000000004</v>
      </c>
      <c r="O34" s="58">
        <v>0</v>
      </c>
      <c r="P34" s="59">
        <v>0</v>
      </c>
      <c r="Q34" s="1"/>
      <c r="R34" s="1"/>
    </row>
    <row r="35" spans="1:18" ht="18" customHeight="1" thickBot="1">
      <c r="A35" s="60" t="s">
        <v>57</v>
      </c>
      <c r="B35" s="411" t="s">
        <v>51</v>
      </c>
      <c r="C35" s="412"/>
      <c r="D35" s="413"/>
      <c r="E35" s="188">
        <v>79419</v>
      </c>
      <c r="F35" s="31">
        <f>278696+E35</f>
        <v>358115</v>
      </c>
      <c r="G35" s="62"/>
      <c r="H35" s="62"/>
      <c r="I35" s="62"/>
      <c r="J35" s="62"/>
      <c r="K35" s="45">
        <f>H35</f>
        <v>0</v>
      </c>
      <c r="L35" s="33">
        <f>284756.11+K35</f>
        <v>284756.11</v>
      </c>
      <c r="M35" s="34">
        <f t="shared" si="1"/>
        <v>79419</v>
      </c>
      <c r="N35" s="63">
        <f t="shared" si="1"/>
        <v>73358.89000000001</v>
      </c>
      <c r="O35" s="64">
        <v>0</v>
      </c>
      <c r="P35" s="65">
        <v>0</v>
      </c>
      <c r="Q35" s="1"/>
      <c r="R35" s="71"/>
    </row>
    <row r="36" spans="1:18" ht="30.75" customHeight="1" thickBot="1">
      <c r="A36" s="60" t="s">
        <v>58</v>
      </c>
      <c r="B36" s="405" t="s">
        <v>53</v>
      </c>
      <c r="C36" s="406"/>
      <c r="D36" s="407"/>
      <c r="E36" s="188">
        <v>87595</v>
      </c>
      <c r="F36" s="31">
        <f>348960+E36</f>
        <v>436555</v>
      </c>
      <c r="G36" s="62"/>
      <c r="H36" s="62"/>
      <c r="I36" s="62"/>
      <c r="J36" s="62"/>
      <c r="K36" s="45">
        <f>G36</f>
        <v>0</v>
      </c>
      <c r="L36" s="33">
        <f>360276.97+K36</f>
        <v>360276.97</v>
      </c>
      <c r="M36" s="34">
        <f>E36-K36</f>
        <v>87595</v>
      </c>
      <c r="N36" s="63">
        <f t="shared" si="1"/>
        <v>76278.03000000003</v>
      </c>
      <c r="O36" s="64">
        <v>0</v>
      </c>
      <c r="P36" s="65">
        <v>0</v>
      </c>
      <c r="Q36" s="1"/>
      <c r="R36" s="1"/>
    </row>
    <row r="37" spans="1:18" ht="28.5" customHeight="1" thickBot="1">
      <c r="A37" s="60" t="s">
        <v>59</v>
      </c>
      <c r="B37" s="405" t="s">
        <v>55</v>
      </c>
      <c r="C37" s="406"/>
      <c r="D37" s="407"/>
      <c r="E37" s="45"/>
      <c r="F37" s="31"/>
      <c r="G37" s="62"/>
      <c r="H37" s="62"/>
      <c r="I37" s="62"/>
      <c r="J37" s="62"/>
      <c r="K37" s="45"/>
      <c r="L37" s="33"/>
      <c r="M37" s="67"/>
      <c r="N37" s="72"/>
      <c r="O37" s="64"/>
      <c r="P37" s="65"/>
      <c r="Q37" s="1"/>
      <c r="R37" s="1"/>
    </row>
    <row r="38" spans="1:18" ht="26.25" customHeight="1" thickBot="1">
      <c r="A38" s="51" t="s">
        <v>60</v>
      </c>
      <c r="B38" s="408" t="s">
        <v>61</v>
      </c>
      <c r="C38" s="409"/>
      <c r="D38" s="410"/>
      <c r="E38" s="53">
        <f>SUM(E41:E43)</f>
        <v>5065</v>
      </c>
      <c r="F38" s="73">
        <f>F41+F42+F43</f>
        <v>28325</v>
      </c>
      <c r="G38" s="54">
        <f>G40</f>
        <v>5003.52</v>
      </c>
      <c r="H38" s="54"/>
      <c r="I38" s="54"/>
      <c r="J38" s="54"/>
      <c r="K38" s="55">
        <f>K39+K40</f>
        <v>5003.52</v>
      </c>
      <c r="L38" s="55">
        <f>L40+L39</f>
        <v>27272.010000000002</v>
      </c>
      <c r="M38" s="56">
        <f>E38-K38</f>
        <v>61.47999999999956</v>
      </c>
      <c r="N38" s="57">
        <f>F38-L38</f>
        <v>1052.989999999998</v>
      </c>
      <c r="O38" s="58">
        <v>0</v>
      </c>
      <c r="P38" s="59">
        <v>0</v>
      </c>
      <c r="Q38" s="1"/>
      <c r="R38" s="1"/>
    </row>
    <row r="39" spans="1:18" ht="21.75" customHeight="1" thickBot="1">
      <c r="A39" s="60" t="s">
        <v>62</v>
      </c>
      <c r="B39" s="411" t="s">
        <v>51</v>
      </c>
      <c r="C39" s="412"/>
      <c r="D39" s="413"/>
      <c r="E39" s="33"/>
      <c r="F39" s="31"/>
      <c r="G39" s="62"/>
      <c r="H39" s="62"/>
      <c r="I39" s="62"/>
      <c r="J39" s="62"/>
      <c r="K39" s="45"/>
      <c r="L39" s="33"/>
      <c r="M39" s="67"/>
      <c r="N39" s="72"/>
      <c r="O39" s="64"/>
      <c r="P39" s="65"/>
      <c r="Q39" s="1"/>
      <c r="R39" s="1"/>
    </row>
    <row r="40" spans="1:18" ht="31.5" customHeight="1" thickBot="1">
      <c r="A40" s="60" t="s">
        <v>63</v>
      </c>
      <c r="B40" s="405" t="s">
        <v>53</v>
      </c>
      <c r="C40" s="406"/>
      <c r="D40" s="407"/>
      <c r="E40" s="45">
        <f>E41+E42+E43</f>
        <v>5065</v>
      </c>
      <c r="F40" s="31">
        <f>23260+E40</f>
        <v>28325</v>
      </c>
      <c r="G40" s="62">
        <f>G41+G42</f>
        <v>5003.52</v>
      </c>
      <c r="H40" s="62"/>
      <c r="I40" s="62"/>
      <c r="J40" s="62"/>
      <c r="K40" s="33">
        <f>0+G40</f>
        <v>5003.52</v>
      </c>
      <c r="L40" s="33">
        <f>L41+L42+L43</f>
        <v>27272.010000000002</v>
      </c>
      <c r="M40" s="34">
        <f>E40-K40</f>
        <v>61.47999999999956</v>
      </c>
      <c r="N40" s="63">
        <f aca="true" t="shared" si="2" ref="M40:N55">F40-L40</f>
        <v>1052.989999999998</v>
      </c>
      <c r="O40" s="64">
        <v>0</v>
      </c>
      <c r="P40" s="65">
        <v>0</v>
      </c>
      <c r="Q40" s="1"/>
      <c r="R40" s="1"/>
    </row>
    <row r="41" spans="1:18" ht="24" customHeight="1" thickBot="1">
      <c r="A41" s="60" t="s">
        <v>64</v>
      </c>
      <c r="B41" s="414" t="s">
        <v>65</v>
      </c>
      <c r="C41" s="415"/>
      <c r="D41" s="416"/>
      <c r="E41" s="153">
        <v>2846</v>
      </c>
      <c r="F41" s="31">
        <f>11384+E41</f>
        <v>14230</v>
      </c>
      <c r="G41" s="62">
        <v>2784.52</v>
      </c>
      <c r="H41" s="62"/>
      <c r="I41" s="62"/>
      <c r="J41" s="62"/>
      <c r="K41" s="33">
        <f>0+G41</f>
        <v>2784.52</v>
      </c>
      <c r="L41" s="33">
        <f>11280.49+K41</f>
        <v>14065.01</v>
      </c>
      <c r="M41" s="34">
        <f t="shared" si="2"/>
        <v>61.48000000000002</v>
      </c>
      <c r="N41" s="63">
        <f t="shared" si="2"/>
        <v>164.98999999999978</v>
      </c>
      <c r="O41" s="64">
        <v>0</v>
      </c>
      <c r="P41" s="65">
        <v>0</v>
      </c>
      <c r="Q41" s="1"/>
      <c r="R41" s="1"/>
    </row>
    <row r="42" spans="1:18" ht="21" customHeight="1" thickBot="1">
      <c r="A42" s="60" t="s">
        <v>66</v>
      </c>
      <c r="B42" s="414" t="s">
        <v>67</v>
      </c>
      <c r="C42" s="415"/>
      <c r="D42" s="416"/>
      <c r="E42" s="153">
        <v>2219</v>
      </c>
      <c r="F42" s="31">
        <f>8876+E42</f>
        <v>11095</v>
      </c>
      <c r="G42" s="62">
        <v>2219</v>
      </c>
      <c r="H42" s="62"/>
      <c r="I42" s="62"/>
      <c r="J42" s="62"/>
      <c r="K42" s="33">
        <f>0+G42</f>
        <v>2219</v>
      </c>
      <c r="L42" s="33">
        <f>8876+K42</f>
        <v>11095</v>
      </c>
      <c r="M42" s="34">
        <f t="shared" si="2"/>
        <v>0</v>
      </c>
      <c r="N42" s="63">
        <f t="shared" si="2"/>
        <v>0</v>
      </c>
      <c r="O42" s="64">
        <v>0</v>
      </c>
      <c r="P42" s="65">
        <v>0</v>
      </c>
      <c r="Q42" s="1"/>
      <c r="R42" s="1"/>
    </row>
    <row r="43" spans="1:18" ht="15.75" thickBot="1">
      <c r="A43" s="60" t="s">
        <v>68</v>
      </c>
      <c r="B43" s="414" t="s">
        <v>210</v>
      </c>
      <c r="C43" s="415"/>
      <c r="D43" s="416"/>
      <c r="E43" s="153"/>
      <c r="F43" s="31">
        <f>3000+E43</f>
        <v>3000</v>
      </c>
      <c r="G43" s="74"/>
      <c r="H43" s="74"/>
      <c r="I43" s="74"/>
      <c r="J43" s="62"/>
      <c r="K43" s="33">
        <f>0+J43</f>
        <v>0</v>
      </c>
      <c r="L43" s="33">
        <f>2112+K43</f>
        <v>2112</v>
      </c>
      <c r="M43" s="34">
        <f t="shared" si="2"/>
        <v>0</v>
      </c>
      <c r="N43" s="63">
        <f t="shared" si="2"/>
        <v>888</v>
      </c>
      <c r="O43" s="64">
        <v>0</v>
      </c>
      <c r="P43" s="65">
        <v>0</v>
      </c>
      <c r="Q43" s="1"/>
      <c r="R43" s="37"/>
    </row>
    <row r="44" spans="1:18" ht="36" customHeight="1" thickBot="1">
      <c r="A44" s="51" t="s">
        <v>69</v>
      </c>
      <c r="B44" s="408" t="s">
        <v>70</v>
      </c>
      <c r="C44" s="409"/>
      <c r="D44" s="410"/>
      <c r="E44" s="53">
        <f>SUM(E47:E49)</f>
        <v>265000</v>
      </c>
      <c r="F44" s="73">
        <f>F45+F46+F47</f>
        <v>1190200</v>
      </c>
      <c r="G44" s="55">
        <f>G45+G46+G47</f>
        <v>198661.5</v>
      </c>
      <c r="H44" s="75"/>
      <c r="I44" s="75"/>
      <c r="J44" s="54"/>
      <c r="K44" s="55">
        <f>K45+K46+K47</f>
        <v>198661.5</v>
      </c>
      <c r="L44" s="55">
        <f>L45+L46+L47</f>
        <v>1033956</v>
      </c>
      <c r="M44" s="56">
        <f t="shared" si="2"/>
        <v>66338.5</v>
      </c>
      <c r="N44" s="158">
        <f t="shared" si="2"/>
        <v>156244</v>
      </c>
      <c r="O44" s="58">
        <v>0</v>
      </c>
      <c r="P44" s="59">
        <v>0</v>
      </c>
      <c r="Q44" s="1"/>
      <c r="R44" s="1"/>
    </row>
    <row r="45" spans="1:18" ht="30" customHeight="1" thickBot="1">
      <c r="A45" s="60" t="s">
        <v>71</v>
      </c>
      <c r="B45" s="405" t="s">
        <v>53</v>
      </c>
      <c r="C45" s="406"/>
      <c r="D45" s="407"/>
      <c r="E45" s="155">
        <f>E48+E49</f>
        <v>265000</v>
      </c>
      <c r="F45" s="31">
        <f>F48+F49+F50</f>
        <v>1190200</v>
      </c>
      <c r="G45" s="33">
        <f>G48+G49</f>
        <v>198661.5</v>
      </c>
      <c r="H45" s="74"/>
      <c r="I45" s="74"/>
      <c r="J45" s="62"/>
      <c r="K45" s="33">
        <f>0+G45</f>
        <v>198661.5</v>
      </c>
      <c r="L45" s="33">
        <f>L48+L49</f>
        <v>1033956</v>
      </c>
      <c r="M45" s="34">
        <f>E45-K45</f>
        <v>66338.5</v>
      </c>
      <c r="N45" s="35">
        <f t="shared" si="2"/>
        <v>156244</v>
      </c>
      <c r="O45" s="64">
        <v>0</v>
      </c>
      <c r="P45" s="65">
        <v>0</v>
      </c>
      <c r="Q45" s="1"/>
      <c r="R45" s="1"/>
    </row>
    <row r="46" spans="1:18" ht="23.25" customHeight="1" thickBot="1">
      <c r="A46" s="60" t="s">
        <v>72</v>
      </c>
      <c r="B46" s="411" t="s">
        <v>51</v>
      </c>
      <c r="C46" s="412"/>
      <c r="D46" s="413"/>
      <c r="E46" s="76"/>
      <c r="F46" s="31"/>
      <c r="G46" s="33"/>
      <c r="H46" s="74"/>
      <c r="I46" s="74"/>
      <c r="J46" s="62"/>
      <c r="K46" s="33">
        <f aca="true" t="shared" si="3" ref="K46:K53">0+G46</f>
        <v>0</v>
      </c>
      <c r="L46" s="33">
        <f>0+K46</f>
        <v>0</v>
      </c>
      <c r="M46" s="34">
        <f t="shared" si="2"/>
        <v>0</v>
      </c>
      <c r="N46" s="63">
        <f t="shared" si="2"/>
        <v>0</v>
      </c>
      <c r="O46" s="64">
        <v>0</v>
      </c>
      <c r="P46" s="65">
        <v>0</v>
      </c>
      <c r="Q46" s="1"/>
      <c r="R46" s="1"/>
    </row>
    <row r="47" spans="1:18" ht="22.5" customHeight="1" thickBot="1">
      <c r="A47" s="60" t="s">
        <v>73</v>
      </c>
      <c r="B47" s="77" t="s">
        <v>55</v>
      </c>
      <c r="C47" s="78"/>
      <c r="D47" s="78"/>
      <c r="E47" s="79"/>
      <c r="F47" s="31"/>
      <c r="G47" s="33"/>
      <c r="H47" s="74"/>
      <c r="I47" s="74"/>
      <c r="J47" s="62"/>
      <c r="K47" s="33">
        <f t="shared" si="3"/>
        <v>0</v>
      </c>
      <c r="L47" s="33">
        <f>0+K47</f>
        <v>0</v>
      </c>
      <c r="M47" s="34">
        <f t="shared" si="2"/>
        <v>0</v>
      </c>
      <c r="N47" s="63">
        <f t="shared" si="2"/>
        <v>0</v>
      </c>
      <c r="O47" s="64">
        <v>0</v>
      </c>
      <c r="P47" s="65">
        <v>0</v>
      </c>
      <c r="Q47" s="1"/>
      <c r="R47" s="80"/>
    </row>
    <row r="48" spans="1:18" ht="27" customHeight="1" thickBot="1">
      <c r="A48" s="60" t="s">
        <v>74</v>
      </c>
      <c r="B48" s="420" t="s">
        <v>75</v>
      </c>
      <c r="C48" s="421"/>
      <c r="D48" s="422"/>
      <c r="E48" s="156">
        <v>265000</v>
      </c>
      <c r="F48" s="31">
        <f>900000+E48</f>
        <v>1165000</v>
      </c>
      <c r="G48" s="74">
        <v>198263.5</v>
      </c>
      <c r="H48" s="74"/>
      <c r="I48" s="74"/>
      <c r="J48" s="62"/>
      <c r="K48" s="33">
        <f>0+G48</f>
        <v>198263.5</v>
      </c>
      <c r="L48" s="33">
        <f>830605.5+K48</f>
        <v>1028869</v>
      </c>
      <c r="M48" s="34">
        <f>E48-K48</f>
        <v>66736.5</v>
      </c>
      <c r="N48" s="63">
        <f t="shared" si="2"/>
        <v>136131</v>
      </c>
      <c r="O48" s="64">
        <v>0</v>
      </c>
      <c r="P48" s="65">
        <v>0</v>
      </c>
      <c r="Q48" s="1"/>
      <c r="R48" s="37"/>
    </row>
    <row r="49" spans="1:18" ht="32.25" customHeight="1" thickBot="1">
      <c r="A49" s="60" t="s">
        <v>76</v>
      </c>
      <c r="B49" s="420" t="s">
        <v>77</v>
      </c>
      <c r="C49" s="421"/>
      <c r="D49" s="422"/>
      <c r="E49" s="156"/>
      <c r="F49" s="31">
        <f>25200+E49</f>
        <v>25200</v>
      </c>
      <c r="G49" s="74">
        <v>398</v>
      </c>
      <c r="H49" s="74"/>
      <c r="I49" s="74"/>
      <c r="J49" s="62"/>
      <c r="K49" s="33">
        <f t="shared" si="3"/>
        <v>398</v>
      </c>
      <c r="L49" s="33">
        <f>4689+K49</f>
        <v>5087</v>
      </c>
      <c r="M49" s="34">
        <f t="shared" si="2"/>
        <v>-398</v>
      </c>
      <c r="N49" s="63">
        <f t="shared" si="2"/>
        <v>20113</v>
      </c>
      <c r="O49" s="64">
        <v>0</v>
      </c>
      <c r="P49" s="65">
        <v>0</v>
      </c>
      <c r="Q49" s="1"/>
      <c r="R49" s="1"/>
    </row>
    <row r="50" spans="1:18" ht="15.75" thickBot="1">
      <c r="A50" s="60" t="s">
        <v>78</v>
      </c>
      <c r="B50" s="420" t="s">
        <v>79</v>
      </c>
      <c r="C50" s="421"/>
      <c r="D50" s="422"/>
      <c r="E50" s="74"/>
      <c r="F50" s="31">
        <f>0+E50</f>
        <v>0</v>
      </c>
      <c r="G50" s="74"/>
      <c r="H50" s="74"/>
      <c r="I50" s="74"/>
      <c r="J50" s="62"/>
      <c r="K50" s="33">
        <f t="shared" si="3"/>
        <v>0</v>
      </c>
      <c r="L50" s="33">
        <f aca="true" t="shared" si="4" ref="L50:L57">0+K50</f>
        <v>0</v>
      </c>
      <c r="M50" s="34">
        <f t="shared" si="2"/>
        <v>0</v>
      </c>
      <c r="N50" s="63">
        <f t="shared" si="2"/>
        <v>0</v>
      </c>
      <c r="O50" s="64">
        <v>0</v>
      </c>
      <c r="P50" s="65">
        <v>0</v>
      </c>
      <c r="Q50" s="1"/>
      <c r="R50" s="1"/>
    </row>
    <row r="51" spans="1:18" ht="44.25" customHeight="1" thickBot="1">
      <c r="A51" s="51" t="s">
        <v>80</v>
      </c>
      <c r="B51" s="423" t="s">
        <v>81</v>
      </c>
      <c r="C51" s="424"/>
      <c r="D51" s="425"/>
      <c r="E51" s="55">
        <v>0</v>
      </c>
      <c r="F51" s="55">
        <v>0</v>
      </c>
      <c r="G51" s="55"/>
      <c r="H51" s="55"/>
      <c r="I51" s="55"/>
      <c r="J51" s="54"/>
      <c r="K51" s="55">
        <f t="shared" si="3"/>
        <v>0</v>
      </c>
      <c r="L51" s="55">
        <f t="shared" si="4"/>
        <v>0</v>
      </c>
      <c r="M51" s="56">
        <f t="shared" si="2"/>
        <v>0</v>
      </c>
      <c r="N51" s="57">
        <f t="shared" si="2"/>
        <v>0</v>
      </c>
      <c r="O51" s="58">
        <v>0</v>
      </c>
      <c r="P51" s="59">
        <v>0</v>
      </c>
      <c r="Q51" s="1"/>
      <c r="R51" s="1"/>
    </row>
    <row r="52" spans="1:18" ht="13.5" customHeight="1" thickBot="1">
      <c r="A52" s="60" t="s">
        <v>82</v>
      </c>
      <c r="B52" s="405" t="s">
        <v>53</v>
      </c>
      <c r="C52" s="406"/>
      <c r="D52" s="407"/>
      <c r="E52" s="33"/>
      <c r="F52" s="33"/>
      <c r="G52" s="33"/>
      <c r="H52" s="33"/>
      <c r="I52" s="33"/>
      <c r="J52" s="62"/>
      <c r="K52" s="33">
        <f t="shared" si="3"/>
        <v>0</v>
      </c>
      <c r="L52" s="33">
        <f t="shared" si="4"/>
        <v>0</v>
      </c>
      <c r="M52" s="34">
        <f t="shared" si="2"/>
        <v>0</v>
      </c>
      <c r="N52" s="63">
        <f t="shared" si="2"/>
        <v>0</v>
      </c>
      <c r="O52" s="64">
        <v>0</v>
      </c>
      <c r="P52" s="65">
        <v>0</v>
      </c>
      <c r="Q52" s="1"/>
      <c r="R52" s="1"/>
    </row>
    <row r="53" spans="1:18" ht="15.75" thickBot="1">
      <c r="A53" s="60" t="s">
        <v>83</v>
      </c>
      <c r="B53" s="457" t="s">
        <v>55</v>
      </c>
      <c r="C53" s="458"/>
      <c r="D53" s="459"/>
      <c r="E53" s="33"/>
      <c r="F53" s="33"/>
      <c r="G53" s="33"/>
      <c r="H53" s="33"/>
      <c r="I53" s="33"/>
      <c r="J53" s="62"/>
      <c r="K53" s="33">
        <f t="shared" si="3"/>
        <v>0</v>
      </c>
      <c r="L53" s="33">
        <f t="shared" si="4"/>
        <v>0</v>
      </c>
      <c r="M53" s="34">
        <f t="shared" si="2"/>
        <v>0</v>
      </c>
      <c r="N53" s="63">
        <f t="shared" si="2"/>
        <v>0</v>
      </c>
      <c r="O53" s="64">
        <v>0</v>
      </c>
      <c r="P53" s="65">
        <v>0</v>
      </c>
      <c r="Q53" s="1"/>
      <c r="R53" s="1"/>
    </row>
    <row r="54" spans="1:18" ht="42" customHeight="1" thickBot="1">
      <c r="A54" s="51" t="s">
        <v>84</v>
      </c>
      <c r="B54" s="408" t="s">
        <v>85</v>
      </c>
      <c r="C54" s="409"/>
      <c r="D54" s="410"/>
      <c r="E54" s="53">
        <f>SUM(E59:E63)</f>
        <v>60200</v>
      </c>
      <c r="F54" s="73">
        <f>F55+F58</f>
        <v>1289300</v>
      </c>
      <c r="G54" s="55">
        <f>G55+G56+G57+G58</f>
        <v>150369.11</v>
      </c>
      <c r="H54" s="55"/>
      <c r="I54" s="55"/>
      <c r="J54" s="55">
        <f>J55+J56+J57+J58</f>
        <v>0</v>
      </c>
      <c r="K54" s="55">
        <f>K55+K56+K57</f>
        <v>150369.11</v>
      </c>
      <c r="L54" s="55">
        <f>L55+L56+L57+L58</f>
        <v>1414260.6099999999</v>
      </c>
      <c r="M54" s="56">
        <f t="shared" si="2"/>
        <v>-90169.10999999999</v>
      </c>
      <c r="N54" s="70">
        <f t="shared" si="2"/>
        <v>-124960.60999999987</v>
      </c>
      <c r="O54" s="58">
        <v>0</v>
      </c>
      <c r="P54" s="59">
        <v>0</v>
      </c>
      <c r="Q54" s="1"/>
      <c r="R54" s="37"/>
    </row>
    <row r="55" spans="1:18" ht="15.75" thickBot="1">
      <c r="A55" s="60" t="s">
        <v>86</v>
      </c>
      <c r="B55" s="405" t="s">
        <v>53</v>
      </c>
      <c r="C55" s="406"/>
      <c r="D55" s="407"/>
      <c r="E55" s="81">
        <f>E59+E60+E62+E63-E58</f>
        <v>54000</v>
      </c>
      <c r="F55" s="31">
        <f>1191100+E55</f>
        <v>1245100</v>
      </c>
      <c r="G55" s="33">
        <f>G60+G62+G63+G59</f>
        <v>150369.11</v>
      </c>
      <c r="H55" s="33"/>
      <c r="I55" s="33"/>
      <c r="J55" s="33"/>
      <c r="K55" s="33">
        <f>0+G55</f>
        <v>150369.11</v>
      </c>
      <c r="L55" s="33">
        <f>1257492.75+K55</f>
        <v>1407861.8599999999</v>
      </c>
      <c r="M55" s="34">
        <f t="shared" si="2"/>
        <v>-96369.10999999999</v>
      </c>
      <c r="N55" s="63">
        <f t="shared" si="2"/>
        <v>-162761.85999999987</v>
      </c>
      <c r="O55" s="64">
        <v>0</v>
      </c>
      <c r="P55" s="65">
        <v>0</v>
      </c>
      <c r="Q55" s="1"/>
      <c r="R55" s="37"/>
    </row>
    <row r="56" spans="1:18" ht="15.75" thickBot="1">
      <c r="A56" s="60" t="s">
        <v>87</v>
      </c>
      <c r="B56" s="411" t="s">
        <v>88</v>
      </c>
      <c r="C56" s="412"/>
      <c r="D56" s="413"/>
      <c r="E56" s="61"/>
      <c r="F56" s="31"/>
      <c r="G56" s="33"/>
      <c r="H56" s="33"/>
      <c r="I56" s="33"/>
      <c r="J56" s="33"/>
      <c r="K56" s="33">
        <f aca="true" t="shared" si="5" ref="K56:K61">0+G56</f>
        <v>0</v>
      </c>
      <c r="L56" s="33">
        <f t="shared" si="4"/>
        <v>0</v>
      </c>
      <c r="M56" s="34">
        <f aca="true" t="shared" si="6" ref="M56:N71">E56-K56</f>
        <v>0</v>
      </c>
      <c r="N56" s="63">
        <f t="shared" si="6"/>
        <v>0</v>
      </c>
      <c r="O56" s="64">
        <v>0</v>
      </c>
      <c r="P56" s="65">
        <v>0</v>
      </c>
      <c r="Q56" s="1"/>
      <c r="R56" s="37"/>
    </row>
    <row r="57" spans="1:18" ht="15.75" thickBot="1">
      <c r="A57" s="60" t="s">
        <v>89</v>
      </c>
      <c r="B57" s="435" t="s">
        <v>55</v>
      </c>
      <c r="C57" s="436"/>
      <c r="D57" s="436"/>
      <c r="E57" s="82"/>
      <c r="F57" s="31"/>
      <c r="G57" s="33"/>
      <c r="H57" s="33"/>
      <c r="I57" s="33"/>
      <c r="J57" s="33"/>
      <c r="K57" s="33">
        <f t="shared" si="5"/>
        <v>0</v>
      </c>
      <c r="L57" s="33">
        <f t="shared" si="4"/>
        <v>0</v>
      </c>
      <c r="M57" s="34">
        <f t="shared" si="6"/>
        <v>0</v>
      </c>
      <c r="N57" s="63">
        <f t="shared" si="6"/>
        <v>0</v>
      </c>
      <c r="O57" s="64">
        <v>0</v>
      </c>
      <c r="P57" s="65">
        <v>0</v>
      </c>
      <c r="Q57" s="1"/>
      <c r="R57" s="37"/>
    </row>
    <row r="58" spans="1:18" ht="15.75" thickBot="1">
      <c r="A58" s="60" t="s">
        <v>90</v>
      </c>
      <c r="B58" s="383" t="s">
        <v>40</v>
      </c>
      <c r="C58" s="384"/>
      <c r="D58" s="385"/>
      <c r="E58" s="155">
        <v>6200</v>
      </c>
      <c r="F58" s="31">
        <f>38000+E58</f>
        <v>44200</v>
      </c>
      <c r="G58" s="33"/>
      <c r="H58" s="33"/>
      <c r="I58" s="33"/>
      <c r="J58" s="33">
        <f>J62+J63+J59</f>
        <v>0</v>
      </c>
      <c r="K58" s="33">
        <f>0+J58</f>
        <v>0</v>
      </c>
      <c r="L58" s="33">
        <f>6398.75+K58</f>
        <v>6398.75</v>
      </c>
      <c r="M58" s="34">
        <f t="shared" si="6"/>
        <v>6200</v>
      </c>
      <c r="N58" s="63">
        <f t="shared" si="6"/>
        <v>37801.25</v>
      </c>
      <c r="O58" s="64">
        <v>0</v>
      </c>
      <c r="P58" s="65">
        <v>0</v>
      </c>
      <c r="Q58" s="1"/>
      <c r="R58" s="37"/>
    </row>
    <row r="59" spans="1:18" ht="24.75" customHeight="1" thickBot="1">
      <c r="A59" s="60" t="s">
        <v>91</v>
      </c>
      <c r="B59" s="437" t="s">
        <v>92</v>
      </c>
      <c r="C59" s="438"/>
      <c r="D59" s="439"/>
      <c r="E59" s="156">
        <v>50000</v>
      </c>
      <c r="F59" s="31">
        <f>320000+E59</f>
        <v>370000</v>
      </c>
      <c r="G59" s="74">
        <v>37026</v>
      </c>
      <c r="H59" s="74"/>
      <c r="I59" s="74"/>
      <c r="J59" s="33"/>
      <c r="K59" s="33">
        <f>J59+G59</f>
        <v>37026</v>
      </c>
      <c r="L59" s="33">
        <f>342047.58+K59</f>
        <v>379073.58</v>
      </c>
      <c r="M59" s="34">
        <f t="shared" si="6"/>
        <v>12974</v>
      </c>
      <c r="N59" s="35">
        <f t="shared" si="6"/>
        <v>-9073.580000000016</v>
      </c>
      <c r="O59" s="64">
        <v>0</v>
      </c>
      <c r="P59" s="65">
        <v>0</v>
      </c>
      <c r="Q59" s="1"/>
      <c r="R59" s="80"/>
    </row>
    <row r="60" spans="1:18" ht="15.75" thickBot="1">
      <c r="A60" s="60" t="s">
        <v>93</v>
      </c>
      <c r="B60" s="426" t="s">
        <v>94</v>
      </c>
      <c r="C60" s="427"/>
      <c r="D60" s="427"/>
      <c r="E60" s="152"/>
      <c r="F60" s="31">
        <f>870000+E60</f>
        <v>870000</v>
      </c>
      <c r="G60" s="74">
        <v>103722.73</v>
      </c>
      <c r="H60" s="74"/>
      <c r="I60" s="74"/>
      <c r="J60" s="33"/>
      <c r="K60" s="33">
        <f>0+G60</f>
        <v>103722.73</v>
      </c>
      <c r="L60" s="33">
        <f>882449.49+K60</f>
        <v>986172.22</v>
      </c>
      <c r="M60" s="34">
        <f t="shared" si="6"/>
        <v>-103722.73</v>
      </c>
      <c r="N60" s="63">
        <f t="shared" si="6"/>
        <v>-116172.21999999997</v>
      </c>
      <c r="O60" s="64">
        <v>0</v>
      </c>
      <c r="P60" s="65">
        <v>0</v>
      </c>
      <c r="Q60" s="1"/>
      <c r="R60" s="37"/>
    </row>
    <row r="61" spans="1:18" ht="15.75" thickBot="1">
      <c r="A61" s="60" t="s">
        <v>93</v>
      </c>
      <c r="B61" s="440" t="s">
        <v>95</v>
      </c>
      <c r="C61" s="441"/>
      <c r="D61" s="442"/>
      <c r="E61" s="152"/>
      <c r="F61" s="31"/>
      <c r="G61" s="74"/>
      <c r="H61" s="74"/>
      <c r="I61" s="74"/>
      <c r="J61" s="33"/>
      <c r="K61" s="33">
        <f t="shared" si="5"/>
        <v>0</v>
      </c>
      <c r="L61" s="33">
        <f>0+K61</f>
        <v>0</v>
      </c>
      <c r="M61" s="34">
        <f t="shared" si="6"/>
        <v>0</v>
      </c>
      <c r="N61" s="63">
        <f t="shared" si="6"/>
        <v>0</v>
      </c>
      <c r="O61" s="64">
        <v>0</v>
      </c>
      <c r="P61" s="65">
        <v>0</v>
      </c>
      <c r="Q61" s="1"/>
      <c r="R61" s="1"/>
    </row>
    <row r="62" spans="1:18" ht="15.75" thickBot="1">
      <c r="A62" s="60" t="s">
        <v>96</v>
      </c>
      <c r="B62" s="426" t="s">
        <v>97</v>
      </c>
      <c r="C62" s="427"/>
      <c r="D62" s="428"/>
      <c r="E62" s="152">
        <v>5400</v>
      </c>
      <c r="F62" s="31">
        <f>20700+E62</f>
        <v>26100</v>
      </c>
      <c r="G62" s="83">
        <v>5137.55</v>
      </c>
      <c r="H62" s="84"/>
      <c r="I62" s="74"/>
      <c r="J62" s="74"/>
      <c r="K62" s="33">
        <f>0+J62+G62</f>
        <v>5137.55</v>
      </c>
      <c r="L62" s="33">
        <f>21037.73+K62</f>
        <v>26175.28</v>
      </c>
      <c r="M62" s="34">
        <f t="shared" si="6"/>
        <v>262.4499999999998</v>
      </c>
      <c r="N62" s="63">
        <f t="shared" si="6"/>
        <v>-75.27999999999884</v>
      </c>
      <c r="O62" s="64">
        <v>0</v>
      </c>
      <c r="P62" s="65">
        <v>0</v>
      </c>
      <c r="Q62" s="1"/>
      <c r="R62" s="1"/>
    </row>
    <row r="63" spans="1:18" ht="15.75" thickBot="1">
      <c r="A63" s="60" t="s">
        <v>98</v>
      </c>
      <c r="B63" s="426" t="s">
        <v>99</v>
      </c>
      <c r="C63" s="427"/>
      <c r="D63" s="428"/>
      <c r="E63" s="152">
        <v>4800</v>
      </c>
      <c r="F63" s="31">
        <f>18400+E63</f>
        <v>23200</v>
      </c>
      <c r="G63" s="85">
        <v>4482.83</v>
      </c>
      <c r="H63" s="74"/>
      <c r="I63" s="74"/>
      <c r="J63" s="74"/>
      <c r="K63" s="33">
        <f>0+J63+G63</f>
        <v>4482.83</v>
      </c>
      <c r="L63" s="33">
        <f>18356.7+K63</f>
        <v>22839.53</v>
      </c>
      <c r="M63" s="34">
        <f t="shared" si="6"/>
        <v>317.1700000000001</v>
      </c>
      <c r="N63" s="63">
        <f t="shared" si="6"/>
        <v>360.47000000000116</v>
      </c>
      <c r="O63" s="64">
        <v>0</v>
      </c>
      <c r="P63" s="65">
        <v>0</v>
      </c>
      <c r="Q63" s="1"/>
      <c r="R63" s="1"/>
    </row>
    <row r="64" spans="1:18" ht="30.75" customHeight="1" thickBot="1">
      <c r="A64" s="86" t="s">
        <v>100</v>
      </c>
      <c r="B64" s="429" t="s">
        <v>101</v>
      </c>
      <c r="C64" s="430"/>
      <c r="D64" s="431"/>
      <c r="E64" s="53">
        <f>E65</f>
        <v>143000</v>
      </c>
      <c r="F64" s="73">
        <f>F65+F66</f>
        <v>191500</v>
      </c>
      <c r="G64" s="75">
        <f>G65+G66</f>
        <v>11513</v>
      </c>
      <c r="H64" s="55"/>
      <c r="I64" s="55">
        <f>I66</f>
        <v>0</v>
      </c>
      <c r="J64" s="55">
        <f>J65+J66</f>
        <v>0</v>
      </c>
      <c r="K64" s="55">
        <f>K65+K66</f>
        <v>11513</v>
      </c>
      <c r="L64" s="55">
        <f>L65+L66</f>
        <v>49013</v>
      </c>
      <c r="M64" s="56">
        <f t="shared" si="6"/>
        <v>131487</v>
      </c>
      <c r="N64" s="70">
        <f t="shared" si="6"/>
        <v>142487</v>
      </c>
      <c r="O64" s="58">
        <v>0</v>
      </c>
      <c r="P64" s="59">
        <v>0</v>
      </c>
      <c r="Q64" s="1"/>
      <c r="R64" s="1"/>
    </row>
    <row r="65" spans="1:18" ht="16.5" customHeight="1" thickBot="1">
      <c r="A65" s="60" t="s">
        <v>102</v>
      </c>
      <c r="B65" s="457" t="s">
        <v>53</v>
      </c>
      <c r="C65" s="458"/>
      <c r="D65" s="459"/>
      <c r="E65" s="45">
        <v>143000</v>
      </c>
      <c r="F65" s="31">
        <f>48500+E65</f>
        <v>191500</v>
      </c>
      <c r="G65" s="74">
        <v>11513</v>
      </c>
      <c r="H65" s="33"/>
      <c r="I65" s="33"/>
      <c r="J65" s="33"/>
      <c r="K65" s="33">
        <f>0+G65</f>
        <v>11513</v>
      </c>
      <c r="L65" s="33">
        <f>37500+K65</f>
        <v>49013</v>
      </c>
      <c r="M65" s="34">
        <f t="shared" si="6"/>
        <v>131487</v>
      </c>
      <c r="N65" s="35">
        <f t="shared" si="6"/>
        <v>142487</v>
      </c>
      <c r="O65" s="64">
        <v>0</v>
      </c>
      <c r="P65" s="65">
        <v>0</v>
      </c>
      <c r="Q65" s="1"/>
      <c r="R65" s="1"/>
    </row>
    <row r="66" spans="1:18" ht="15.75" thickBot="1">
      <c r="A66" s="60" t="s">
        <v>103</v>
      </c>
      <c r="B66" s="435" t="s">
        <v>104</v>
      </c>
      <c r="C66" s="436"/>
      <c r="D66" s="490"/>
      <c r="E66" s="45"/>
      <c r="F66" s="31"/>
      <c r="G66" s="74"/>
      <c r="H66" s="33"/>
      <c r="I66" s="33"/>
      <c r="J66" s="33"/>
      <c r="K66" s="33">
        <f>0+I66</f>
        <v>0</v>
      </c>
      <c r="L66" s="33">
        <f>0+K66</f>
        <v>0</v>
      </c>
      <c r="M66" s="34">
        <f t="shared" si="6"/>
        <v>0</v>
      </c>
      <c r="N66" s="35">
        <f t="shared" si="6"/>
        <v>0</v>
      </c>
      <c r="O66" s="64">
        <v>0</v>
      </c>
      <c r="P66" s="65">
        <v>0</v>
      </c>
      <c r="Q66" s="1"/>
      <c r="R66" s="1"/>
    </row>
    <row r="67" spans="1:18" ht="30.75" customHeight="1" thickBot="1">
      <c r="A67" s="69" t="s">
        <v>105</v>
      </c>
      <c r="B67" s="432" t="s">
        <v>215</v>
      </c>
      <c r="C67" s="433"/>
      <c r="D67" s="434"/>
      <c r="E67" s="53">
        <f>E68</f>
        <v>565000</v>
      </c>
      <c r="F67" s="73">
        <f>F68+F69+F70</f>
        <v>665000</v>
      </c>
      <c r="G67" s="75">
        <f>G68+G69</f>
        <v>0</v>
      </c>
      <c r="H67" s="55"/>
      <c r="I67" s="55"/>
      <c r="J67" s="55"/>
      <c r="K67" s="55">
        <f>K68+K69+K70</f>
        <v>0</v>
      </c>
      <c r="L67" s="55">
        <f>0+K67</f>
        <v>0</v>
      </c>
      <c r="M67" s="56">
        <f t="shared" si="6"/>
        <v>565000</v>
      </c>
      <c r="N67" s="70">
        <f t="shared" si="6"/>
        <v>665000</v>
      </c>
      <c r="O67" s="58">
        <v>0</v>
      </c>
      <c r="P67" s="59">
        <v>0</v>
      </c>
      <c r="Q67" s="1"/>
      <c r="R67" s="37"/>
    </row>
    <row r="68" spans="1:18" ht="15.75" thickBot="1">
      <c r="A68" s="60" t="s">
        <v>107</v>
      </c>
      <c r="B68" s="446" t="s">
        <v>53</v>
      </c>
      <c r="C68" s="447"/>
      <c r="D68" s="448"/>
      <c r="E68" s="61">
        <v>565000</v>
      </c>
      <c r="F68" s="31">
        <f>100000+E68</f>
        <v>665000</v>
      </c>
      <c r="G68" s="74"/>
      <c r="H68" s="33"/>
      <c r="I68" s="33"/>
      <c r="J68" s="33"/>
      <c r="K68" s="33">
        <f>G68</f>
        <v>0</v>
      </c>
      <c r="L68" s="33">
        <f>0+K68</f>
        <v>0</v>
      </c>
      <c r="M68" s="34">
        <f>E68-K68</f>
        <v>565000</v>
      </c>
      <c r="N68" s="35">
        <f t="shared" si="6"/>
        <v>665000</v>
      </c>
      <c r="O68" s="64">
        <v>0</v>
      </c>
      <c r="P68" s="65">
        <v>0</v>
      </c>
      <c r="Q68" s="1"/>
      <c r="R68" s="37"/>
    </row>
    <row r="69" spans="1:18" ht="15.75" thickBot="1">
      <c r="A69" s="60" t="s">
        <v>108</v>
      </c>
      <c r="B69" s="435" t="s">
        <v>104</v>
      </c>
      <c r="C69" s="436"/>
      <c r="D69" s="490"/>
      <c r="E69" s="61"/>
      <c r="F69" s="31"/>
      <c r="G69" s="74"/>
      <c r="H69" s="33"/>
      <c r="I69" s="33"/>
      <c r="J69" s="33"/>
      <c r="K69" s="33">
        <f>G69</f>
        <v>0</v>
      </c>
      <c r="L69" s="33">
        <f>0+K69</f>
        <v>0</v>
      </c>
      <c r="M69" s="34">
        <f t="shared" si="6"/>
        <v>0</v>
      </c>
      <c r="N69" s="35">
        <f t="shared" si="6"/>
        <v>0</v>
      </c>
      <c r="O69" s="64">
        <v>0</v>
      </c>
      <c r="P69" s="65">
        <v>0</v>
      </c>
      <c r="Q69" s="1"/>
      <c r="R69" s="37"/>
    </row>
    <row r="70" spans="1:18" ht="15.75" thickBot="1">
      <c r="A70" s="60" t="s">
        <v>109</v>
      </c>
      <c r="B70" s="446" t="s">
        <v>55</v>
      </c>
      <c r="C70" s="447"/>
      <c r="D70" s="448"/>
      <c r="E70" s="81"/>
      <c r="F70" s="31"/>
      <c r="G70" s="74"/>
      <c r="H70" s="33"/>
      <c r="I70" s="33"/>
      <c r="J70" s="33"/>
      <c r="K70" s="33">
        <f>0+J70</f>
        <v>0</v>
      </c>
      <c r="L70" s="33">
        <f>0+K70</f>
        <v>0</v>
      </c>
      <c r="M70" s="34">
        <f t="shared" si="6"/>
        <v>0</v>
      </c>
      <c r="N70" s="35">
        <f t="shared" si="6"/>
        <v>0</v>
      </c>
      <c r="O70" s="64">
        <v>0</v>
      </c>
      <c r="P70" s="65">
        <v>0</v>
      </c>
      <c r="Q70" s="1"/>
      <c r="R70" s="37"/>
    </row>
    <row r="71" spans="1:18" ht="21.75" customHeight="1" thickBot="1">
      <c r="A71" s="87" t="s">
        <v>110</v>
      </c>
      <c r="B71" s="443" t="s">
        <v>111</v>
      </c>
      <c r="C71" s="444"/>
      <c r="D71" s="445"/>
      <c r="E71" s="53">
        <f>E72+E73</f>
        <v>3300</v>
      </c>
      <c r="F71" s="73">
        <f>F72</f>
        <v>16500</v>
      </c>
      <c r="G71" s="75">
        <f>G72+G73</f>
        <v>96</v>
      </c>
      <c r="H71" s="55"/>
      <c r="I71" s="55"/>
      <c r="J71" s="55"/>
      <c r="K71" s="55">
        <f>G71</f>
        <v>96</v>
      </c>
      <c r="L71" s="55">
        <f>L72</f>
        <v>15565</v>
      </c>
      <c r="M71" s="56">
        <f t="shared" si="6"/>
        <v>3204</v>
      </c>
      <c r="N71" s="70">
        <f t="shared" si="6"/>
        <v>935</v>
      </c>
      <c r="O71" s="58">
        <v>0</v>
      </c>
      <c r="P71" s="59">
        <v>0</v>
      </c>
      <c r="Q71" s="1"/>
      <c r="R71" s="1"/>
    </row>
    <row r="72" spans="1:18" ht="15.75" thickBot="1">
      <c r="A72" s="60" t="s">
        <v>107</v>
      </c>
      <c r="B72" s="405" t="s">
        <v>53</v>
      </c>
      <c r="C72" s="406"/>
      <c r="D72" s="407"/>
      <c r="E72" s="61">
        <v>3300</v>
      </c>
      <c r="F72" s="31">
        <f>13200+E72</f>
        <v>16500</v>
      </c>
      <c r="G72" s="74">
        <v>96</v>
      </c>
      <c r="H72" s="33"/>
      <c r="I72" s="33"/>
      <c r="J72" s="33"/>
      <c r="K72" s="33">
        <f>G72</f>
        <v>96</v>
      </c>
      <c r="L72" s="33">
        <f>15469+K72</f>
        <v>15565</v>
      </c>
      <c r="M72" s="34">
        <f aca="true" t="shared" si="7" ref="M72:N82">E72-K72</f>
        <v>3204</v>
      </c>
      <c r="N72" s="35">
        <f t="shared" si="7"/>
        <v>935</v>
      </c>
      <c r="O72" s="64">
        <v>0</v>
      </c>
      <c r="P72" s="65">
        <v>0</v>
      </c>
      <c r="Q72" s="1"/>
      <c r="R72" s="1"/>
    </row>
    <row r="73" spans="1:18" ht="15.75" thickBot="1">
      <c r="A73" s="60" t="s">
        <v>109</v>
      </c>
      <c r="B73" s="405" t="s">
        <v>55</v>
      </c>
      <c r="C73" s="406"/>
      <c r="D73" s="407"/>
      <c r="E73" s="81"/>
      <c r="F73" s="31"/>
      <c r="G73" s="74"/>
      <c r="H73" s="33"/>
      <c r="I73" s="33"/>
      <c r="J73" s="33"/>
      <c r="K73" s="33">
        <f>0+J73</f>
        <v>0</v>
      </c>
      <c r="L73" s="33">
        <f>0+K73</f>
        <v>0</v>
      </c>
      <c r="M73" s="34">
        <f t="shared" si="7"/>
        <v>0</v>
      </c>
      <c r="N73" s="35">
        <f t="shared" si="7"/>
        <v>0</v>
      </c>
      <c r="O73" s="64">
        <v>0</v>
      </c>
      <c r="P73" s="65">
        <v>0</v>
      </c>
      <c r="Q73" s="1"/>
      <c r="R73" s="1"/>
    </row>
    <row r="74" spans="1:18" ht="42.75" customHeight="1" thickBot="1">
      <c r="A74" s="87" t="s">
        <v>112</v>
      </c>
      <c r="B74" s="443" t="s">
        <v>113</v>
      </c>
      <c r="C74" s="444"/>
      <c r="D74" s="445"/>
      <c r="E74" s="53">
        <f>E75</f>
        <v>55000</v>
      </c>
      <c r="F74" s="73">
        <f>F75+F76</f>
        <v>202000</v>
      </c>
      <c r="G74" s="75">
        <f>G75+G76+G77</f>
        <v>4628</v>
      </c>
      <c r="H74" s="55"/>
      <c r="I74" s="55">
        <f>I75+I76</f>
        <v>0</v>
      </c>
      <c r="J74" s="55"/>
      <c r="K74" s="55">
        <f>K75+K76+K77</f>
        <v>4628</v>
      </c>
      <c r="L74" s="55">
        <f>L75+L76+L77</f>
        <v>95712.29</v>
      </c>
      <c r="M74" s="56">
        <f t="shared" si="7"/>
        <v>50372</v>
      </c>
      <c r="N74" s="70">
        <f t="shared" si="7"/>
        <v>106287.71</v>
      </c>
      <c r="O74" s="58">
        <v>0</v>
      </c>
      <c r="P74" s="59">
        <v>0</v>
      </c>
      <c r="Q74" s="1"/>
      <c r="R74" s="1"/>
    </row>
    <row r="75" spans="1:18" ht="15.75" thickBot="1">
      <c r="A75" s="60" t="s">
        <v>114</v>
      </c>
      <c r="B75" s="405" t="s">
        <v>53</v>
      </c>
      <c r="C75" s="406"/>
      <c r="D75" s="407"/>
      <c r="E75" s="61">
        <v>55000</v>
      </c>
      <c r="F75" s="31">
        <f>147000+E75</f>
        <v>202000</v>
      </c>
      <c r="G75" s="74">
        <v>4628</v>
      </c>
      <c r="H75" s="33"/>
      <c r="I75" s="33"/>
      <c r="J75" s="33"/>
      <c r="K75" s="33">
        <f>G75</f>
        <v>4628</v>
      </c>
      <c r="L75" s="33">
        <f>91084.29+K75</f>
        <v>95712.29</v>
      </c>
      <c r="M75" s="34">
        <f>E75-K75</f>
        <v>50372</v>
      </c>
      <c r="N75" s="35">
        <f t="shared" si="7"/>
        <v>106287.71</v>
      </c>
      <c r="O75" s="64">
        <v>0</v>
      </c>
      <c r="P75" s="65">
        <v>0</v>
      </c>
      <c r="Q75" s="1"/>
      <c r="R75" s="1"/>
    </row>
    <row r="76" spans="1:18" ht="15.75" thickBot="1">
      <c r="A76" s="60" t="s">
        <v>115</v>
      </c>
      <c r="B76" s="435" t="s">
        <v>104</v>
      </c>
      <c r="C76" s="436"/>
      <c r="D76" s="490"/>
      <c r="E76" s="81"/>
      <c r="F76" s="31"/>
      <c r="G76" s="74"/>
      <c r="H76" s="33"/>
      <c r="I76" s="33"/>
      <c r="J76" s="33"/>
      <c r="K76" s="33">
        <f>I76</f>
        <v>0</v>
      </c>
      <c r="L76" s="33">
        <f>0+K76</f>
        <v>0</v>
      </c>
      <c r="M76" s="34">
        <f t="shared" si="7"/>
        <v>0</v>
      </c>
      <c r="N76" s="35">
        <f t="shared" si="7"/>
        <v>0</v>
      </c>
      <c r="O76" s="64">
        <v>0</v>
      </c>
      <c r="P76" s="65">
        <v>0</v>
      </c>
      <c r="Q76" s="1"/>
      <c r="R76" s="1"/>
    </row>
    <row r="77" spans="1:18" ht="15.75" thickBot="1">
      <c r="A77" s="60" t="s">
        <v>116</v>
      </c>
      <c r="B77" s="405" t="s">
        <v>55</v>
      </c>
      <c r="C77" s="406"/>
      <c r="D77" s="407"/>
      <c r="E77" s="61"/>
      <c r="F77" s="31"/>
      <c r="G77" s="74"/>
      <c r="H77" s="33"/>
      <c r="I77" s="33"/>
      <c r="J77" s="33"/>
      <c r="K77" s="33">
        <f>0+J77</f>
        <v>0</v>
      </c>
      <c r="L77" s="33">
        <f>0+K77</f>
        <v>0</v>
      </c>
      <c r="M77" s="34">
        <f t="shared" si="7"/>
        <v>0</v>
      </c>
      <c r="N77" s="35">
        <f t="shared" si="7"/>
        <v>0</v>
      </c>
      <c r="O77" s="64">
        <v>0</v>
      </c>
      <c r="P77" s="65">
        <v>0</v>
      </c>
      <c r="Q77" s="1"/>
      <c r="R77" s="1"/>
    </row>
    <row r="78" spans="1:18" ht="44.25" customHeight="1" thickBot="1">
      <c r="A78" s="69" t="s">
        <v>117</v>
      </c>
      <c r="B78" s="408" t="s">
        <v>118</v>
      </c>
      <c r="C78" s="409"/>
      <c r="D78" s="410"/>
      <c r="E78" s="53">
        <f>E79</f>
        <v>0</v>
      </c>
      <c r="F78" s="73">
        <f>F79</f>
        <v>2000</v>
      </c>
      <c r="G78" s="75">
        <f>G79</f>
        <v>0</v>
      </c>
      <c r="H78" s="55"/>
      <c r="I78" s="55"/>
      <c r="J78" s="55"/>
      <c r="K78" s="55">
        <f>0+J78+G78</f>
        <v>0</v>
      </c>
      <c r="L78" s="55">
        <f>L79</f>
        <v>1973.5</v>
      </c>
      <c r="M78" s="56">
        <f t="shared" si="7"/>
        <v>0</v>
      </c>
      <c r="N78" s="70">
        <f t="shared" si="7"/>
        <v>26.5</v>
      </c>
      <c r="O78" s="58">
        <v>0</v>
      </c>
      <c r="P78" s="59">
        <v>0</v>
      </c>
      <c r="Q78" s="1"/>
      <c r="R78" s="1"/>
    </row>
    <row r="79" spans="1:18" ht="15.75" thickBot="1">
      <c r="A79" s="60" t="s">
        <v>119</v>
      </c>
      <c r="B79" s="405" t="s">
        <v>53</v>
      </c>
      <c r="C79" s="406"/>
      <c r="D79" s="407"/>
      <c r="E79" s="81">
        <v>0</v>
      </c>
      <c r="F79" s="31">
        <f>2000+E79</f>
        <v>2000</v>
      </c>
      <c r="G79" s="74"/>
      <c r="H79" s="33"/>
      <c r="I79" s="33"/>
      <c r="J79" s="33"/>
      <c r="K79" s="33">
        <f>0+J79+G79</f>
        <v>0</v>
      </c>
      <c r="L79" s="33">
        <f>1973.5+K79</f>
        <v>1973.5</v>
      </c>
      <c r="M79" s="34">
        <f>E79-K79</f>
        <v>0</v>
      </c>
      <c r="N79" s="35">
        <f t="shared" si="7"/>
        <v>26.5</v>
      </c>
      <c r="O79" s="64">
        <v>0</v>
      </c>
      <c r="P79" s="65">
        <v>0</v>
      </c>
      <c r="Q79" s="1"/>
      <c r="R79" s="1"/>
    </row>
    <row r="80" spans="1:18" ht="24.75" customHeight="1" thickBot="1">
      <c r="A80" s="69" t="s">
        <v>120</v>
      </c>
      <c r="B80" s="408" t="s">
        <v>121</v>
      </c>
      <c r="C80" s="409"/>
      <c r="D80" s="410"/>
      <c r="E80" s="53">
        <f>E81</f>
        <v>0</v>
      </c>
      <c r="F80" s="73">
        <f>F81</f>
        <v>18500</v>
      </c>
      <c r="G80" s="75">
        <f>G81</f>
        <v>12592.98</v>
      </c>
      <c r="H80" s="55"/>
      <c r="I80" s="55"/>
      <c r="J80" s="55"/>
      <c r="K80" s="55">
        <f>0+J80+G80</f>
        <v>12592.98</v>
      </c>
      <c r="L80" s="55">
        <f>0+K80</f>
        <v>12592.98</v>
      </c>
      <c r="M80" s="56">
        <f t="shared" si="7"/>
        <v>-12592.98</v>
      </c>
      <c r="N80" s="70">
        <f t="shared" si="7"/>
        <v>5907.02</v>
      </c>
      <c r="O80" s="58">
        <v>0</v>
      </c>
      <c r="P80" s="59">
        <v>0</v>
      </c>
      <c r="Q80" s="1"/>
      <c r="R80" s="1"/>
    </row>
    <row r="81" spans="1:18" ht="15.75" thickBot="1">
      <c r="A81" s="60" t="s">
        <v>122</v>
      </c>
      <c r="B81" s="435" t="s">
        <v>53</v>
      </c>
      <c r="C81" s="436"/>
      <c r="D81" s="490"/>
      <c r="E81" s="81">
        <v>0</v>
      </c>
      <c r="F81" s="31">
        <f>18500+E81</f>
        <v>18500</v>
      </c>
      <c r="G81" s="89">
        <v>12592.98</v>
      </c>
      <c r="H81" s="90"/>
      <c r="I81" s="91"/>
      <c r="J81" s="90"/>
      <c r="K81" s="33">
        <f>0+J81+G81</f>
        <v>12592.98</v>
      </c>
      <c r="L81" s="33">
        <f>0+K81</f>
        <v>12592.98</v>
      </c>
      <c r="M81" s="34">
        <f t="shared" si="7"/>
        <v>-12592.98</v>
      </c>
      <c r="N81" s="35">
        <f t="shared" si="7"/>
        <v>5907.02</v>
      </c>
      <c r="O81" s="64">
        <v>0</v>
      </c>
      <c r="P81" s="65">
        <v>0</v>
      </c>
      <c r="Q81" s="1"/>
      <c r="R81" s="1"/>
    </row>
    <row r="82" spans="1:18" ht="15.75" thickBot="1">
      <c r="A82" s="60" t="s">
        <v>123</v>
      </c>
      <c r="B82" s="435" t="s">
        <v>55</v>
      </c>
      <c r="C82" s="436"/>
      <c r="D82" s="490"/>
      <c r="E82" s="81"/>
      <c r="F82" s="33"/>
      <c r="G82" s="74"/>
      <c r="H82" s="92"/>
      <c r="I82" s="33"/>
      <c r="J82" s="92"/>
      <c r="K82" s="33">
        <f>0+J82</f>
        <v>0</v>
      </c>
      <c r="L82" s="33">
        <f>0+K82</f>
        <v>0</v>
      </c>
      <c r="M82" s="34">
        <f>E82-K82</f>
        <v>0</v>
      </c>
      <c r="N82" s="35">
        <f t="shared" si="7"/>
        <v>0</v>
      </c>
      <c r="O82" s="64">
        <v>0</v>
      </c>
      <c r="P82" s="65">
        <v>0</v>
      </c>
      <c r="Q82" s="1"/>
      <c r="R82" s="1"/>
    </row>
    <row r="83" spans="1:18" ht="15">
      <c r="A83" s="449"/>
      <c r="B83" s="451" t="s">
        <v>43</v>
      </c>
      <c r="C83" s="452"/>
      <c r="D83" s="452"/>
      <c r="E83" s="452"/>
      <c r="F83" s="452"/>
      <c r="G83" s="452"/>
      <c r="H83" s="452"/>
      <c r="I83" s="452"/>
      <c r="J83" s="452"/>
      <c r="K83" s="452"/>
      <c r="L83" s="452"/>
      <c r="M83" s="452"/>
      <c r="N83" s="452"/>
      <c r="O83" s="452"/>
      <c r="P83" s="453"/>
      <c r="Q83" s="1"/>
      <c r="R83" s="1"/>
    </row>
    <row r="84" spans="1:18" ht="6.75" customHeight="1" thickBot="1">
      <c r="A84" s="450"/>
      <c r="B84" s="454"/>
      <c r="C84" s="455"/>
      <c r="D84" s="455"/>
      <c r="E84" s="455"/>
      <c r="F84" s="455"/>
      <c r="G84" s="455"/>
      <c r="H84" s="455"/>
      <c r="I84" s="455"/>
      <c r="J84" s="455"/>
      <c r="K84" s="455"/>
      <c r="L84" s="455"/>
      <c r="M84" s="455"/>
      <c r="N84" s="455"/>
      <c r="O84" s="455"/>
      <c r="P84" s="456"/>
      <c r="Q84" s="1"/>
      <c r="R84" s="1"/>
    </row>
    <row r="85" spans="1:18" ht="15.75" thickBot="1">
      <c r="A85" s="449"/>
      <c r="B85" s="364" t="s">
        <v>14</v>
      </c>
      <c r="C85" s="365"/>
      <c r="D85" s="366"/>
      <c r="E85" s="401" t="s">
        <v>24</v>
      </c>
      <c r="F85" s="403" t="s">
        <v>25</v>
      </c>
      <c r="G85" s="338" t="s">
        <v>44</v>
      </c>
      <c r="H85" s="321"/>
      <c r="I85" s="321"/>
      <c r="J85" s="321"/>
      <c r="K85" s="339"/>
      <c r="L85" s="340" t="s">
        <v>16</v>
      </c>
      <c r="M85" s="340" t="s">
        <v>17</v>
      </c>
      <c r="N85" s="340" t="s">
        <v>18</v>
      </c>
      <c r="O85" s="340" t="s">
        <v>19</v>
      </c>
      <c r="P85" s="340" t="s">
        <v>20</v>
      </c>
      <c r="Q85" s="1"/>
      <c r="R85" s="1"/>
    </row>
    <row r="86" spans="1:18" ht="72" customHeight="1" thickBot="1">
      <c r="A86" s="450"/>
      <c r="B86" s="367"/>
      <c r="C86" s="368"/>
      <c r="D86" s="369"/>
      <c r="E86" s="402"/>
      <c r="F86" s="404"/>
      <c r="G86" s="191" t="s">
        <v>45</v>
      </c>
      <c r="H86" s="191" t="s">
        <v>46</v>
      </c>
      <c r="I86" s="191" t="s">
        <v>47</v>
      </c>
      <c r="J86" s="7" t="s">
        <v>124</v>
      </c>
      <c r="K86" s="8" t="s">
        <v>27</v>
      </c>
      <c r="L86" s="341"/>
      <c r="M86" s="341"/>
      <c r="N86" s="341"/>
      <c r="O86" s="341"/>
      <c r="P86" s="341"/>
      <c r="Q86" s="1"/>
      <c r="R86" s="1"/>
    </row>
    <row r="87" spans="1:18" ht="15.75" thickBot="1">
      <c r="A87" s="60"/>
      <c r="B87" s="342">
        <v>1</v>
      </c>
      <c r="C87" s="343"/>
      <c r="D87" s="344"/>
      <c r="E87" s="17" t="s">
        <v>22</v>
      </c>
      <c r="F87" s="191">
        <v>3</v>
      </c>
      <c r="G87" s="191">
        <v>4</v>
      </c>
      <c r="H87" s="191">
        <v>5</v>
      </c>
      <c r="I87" s="7">
        <v>6</v>
      </c>
      <c r="J87" s="7">
        <v>7</v>
      </c>
      <c r="K87" s="48">
        <v>8</v>
      </c>
      <c r="L87" s="195">
        <v>9</v>
      </c>
      <c r="M87" s="7">
        <v>10</v>
      </c>
      <c r="N87" s="195">
        <v>11</v>
      </c>
      <c r="O87" s="7">
        <v>12</v>
      </c>
      <c r="P87" s="195">
        <v>13</v>
      </c>
      <c r="Q87" s="1"/>
      <c r="R87" s="1"/>
    </row>
    <row r="88" spans="1:18" ht="41.25" customHeight="1" thickBot="1">
      <c r="A88" s="51" t="s">
        <v>125</v>
      </c>
      <c r="B88" s="408" t="s">
        <v>126</v>
      </c>
      <c r="C88" s="409"/>
      <c r="D88" s="410"/>
      <c r="E88" s="53">
        <f>E89</f>
        <v>29380</v>
      </c>
      <c r="F88" s="73">
        <f>F89+F90+F91+F92</f>
        <v>154900</v>
      </c>
      <c r="G88" s="53">
        <f>G89+G90+G91+G92</f>
        <v>14716.119999999999</v>
      </c>
      <c r="H88" s="55"/>
      <c r="I88" s="55">
        <f>I89+I90+I91</f>
        <v>0</v>
      </c>
      <c r="J88" s="55"/>
      <c r="K88" s="93">
        <f>K89+K90+K91+K92</f>
        <v>14716.119999999999</v>
      </c>
      <c r="L88" s="55">
        <f>L89+L90+L91+L92</f>
        <v>157638.85</v>
      </c>
      <c r="M88" s="56">
        <f aca="true" t="shared" si="8" ref="M88:N103">E88-K88</f>
        <v>14663.880000000001</v>
      </c>
      <c r="N88" s="70">
        <f t="shared" si="8"/>
        <v>-2738.850000000006</v>
      </c>
      <c r="O88" s="58">
        <v>0</v>
      </c>
      <c r="P88" s="59">
        <v>0</v>
      </c>
      <c r="Q88" s="37"/>
      <c r="R88" s="1"/>
    </row>
    <row r="89" spans="1:18" ht="15.75" thickBot="1">
      <c r="A89" s="60" t="s">
        <v>127</v>
      </c>
      <c r="B89" s="405" t="s">
        <v>53</v>
      </c>
      <c r="C89" s="406"/>
      <c r="D89" s="407"/>
      <c r="E89" s="61">
        <f>E93+E94+E96+E97+E98+E100+E99+E95</f>
        <v>29380</v>
      </c>
      <c r="F89" s="31">
        <f>125520+E89</f>
        <v>154900</v>
      </c>
      <c r="G89" s="45">
        <f>G93+G94+G96+G97+G98+G99+G100</f>
        <v>14716.119999999999</v>
      </c>
      <c r="H89" s="33"/>
      <c r="I89" s="33"/>
      <c r="J89" s="33"/>
      <c r="K89" s="94">
        <f>G89</f>
        <v>14716.119999999999</v>
      </c>
      <c r="L89" s="33">
        <f>L93+L94+L96+L97+L98+L99+L100+L95</f>
        <v>157638.85</v>
      </c>
      <c r="M89" s="34">
        <f t="shared" si="8"/>
        <v>14663.880000000001</v>
      </c>
      <c r="N89" s="35">
        <f t="shared" si="8"/>
        <v>-2738.850000000006</v>
      </c>
      <c r="O89" s="64">
        <v>0</v>
      </c>
      <c r="P89" s="65">
        <v>0</v>
      </c>
      <c r="Q89" s="37"/>
      <c r="R89" s="1"/>
    </row>
    <row r="90" spans="1:18" ht="15.75" thickBot="1">
      <c r="A90" s="60" t="s">
        <v>128</v>
      </c>
      <c r="B90" s="457" t="s">
        <v>51</v>
      </c>
      <c r="C90" s="458"/>
      <c r="D90" s="459"/>
      <c r="E90" s="61"/>
      <c r="F90" s="31"/>
      <c r="G90" s="45"/>
      <c r="H90" s="33"/>
      <c r="I90" s="33"/>
      <c r="J90" s="33"/>
      <c r="K90" s="94">
        <f aca="true" t="shared" si="9" ref="K90:K99">G90</f>
        <v>0</v>
      </c>
      <c r="L90" s="33"/>
      <c r="M90" s="34">
        <f t="shared" si="8"/>
        <v>0</v>
      </c>
      <c r="N90" s="35">
        <f t="shared" si="8"/>
        <v>0</v>
      </c>
      <c r="O90" s="64">
        <v>0</v>
      </c>
      <c r="P90" s="65">
        <v>0</v>
      </c>
      <c r="Q90" s="37"/>
      <c r="R90" s="1"/>
    </row>
    <row r="91" spans="1:18" ht="15.75" thickBot="1">
      <c r="A91" s="60" t="s">
        <v>129</v>
      </c>
      <c r="B91" s="405" t="s">
        <v>104</v>
      </c>
      <c r="C91" s="406"/>
      <c r="D91" s="407"/>
      <c r="E91" s="61"/>
      <c r="F91" s="31"/>
      <c r="G91" s="45"/>
      <c r="H91" s="33"/>
      <c r="I91" s="33">
        <f>I97</f>
        <v>0</v>
      </c>
      <c r="J91" s="33"/>
      <c r="K91" s="94">
        <f>I91</f>
        <v>0</v>
      </c>
      <c r="L91" s="33">
        <f>0+K91</f>
        <v>0</v>
      </c>
      <c r="M91" s="34">
        <f t="shared" si="8"/>
        <v>0</v>
      </c>
      <c r="N91" s="35">
        <f t="shared" si="8"/>
        <v>0</v>
      </c>
      <c r="O91" s="64">
        <v>0</v>
      </c>
      <c r="P91" s="65">
        <v>0</v>
      </c>
      <c r="Q91" s="37"/>
      <c r="R91" s="1"/>
    </row>
    <row r="92" spans="1:18" ht="15.75" thickBot="1">
      <c r="A92" s="60" t="s">
        <v>130</v>
      </c>
      <c r="B92" s="405" t="s">
        <v>55</v>
      </c>
      <c r="C92" s="406"/>
      <c r="D92" s="407"/>
      <c r="E92" s="61"/>
      <c r="F92" s="31"/>
      <c r="G92" s="45"/>
      <c r="H92" s="33"/>
      <c r="I92" s="33"/>
      <c r="J92" s="33"/>
      <c r="K92" s="94">
        <f t="shared" si="9"/>
        <v>0</v>
      </c>
      <c r="L92" s="33">
        <f>0+K92</f>
        <v>0</v>
      </c>
      <c r="M92" s="34">
        <f t="shared" si="8"/>
        <v>0</v>
      </c>
      <c r="N92" s="35">
        <f t="shared" si="8"/>
        <v>0</v>
      </c>
      <c r="O92" s="64">
        <v>0</v>
      </c>
      <c r="P92" s="65">
        <v>0</v>
      </c>
      <c r="Q92" s="37"/>
      <c r="R92" s="80"/>
    </row>
    <row r="93" spans="1:18" ht="17.25" customHeight="1" thickBot="1">
      <c r="A93" s="60" t="s">
        <v>131</v>
      </c>
      <c r="B93" s="420" t="s">
        <v>132</v>
      </c>
      <c r="C93" s="421"/>
      <c r="D93" s="422"/>
      <c r="E93" s="152">
        <v>3150</v>
      </c>
      <c r="F93" s="31">
        <f>9450+E93</f>
        <v>12600</v>
      </c>
      <c r="G93" s="45">
        <v>3000</v>
      </c>
      <c r="H93" s="74"/>
      <c r="I93" s="74"/>
      <c r="J93" s="74"/>
      <c r="K93" s="94">
        <f t="shared" si="9"/>
        <v>3000</v>
      </c>
      <c r="L93" s="33">
        <f>12000+K93</f>
        <v>15000</v>
      </c>
      <c r="M93" s="34">
        <f t="shared" si="8"/>
        <v>150</v>
      </c>
      <c r="N93" s="35">
        <f t="shared" si="8"/>
        <v>-2400</v>
      </c>
      <c r="O93" s="64">
        <v>0</v>
      </c>
      <c r="P93" s="65">
        <v>0</v>
      </c>
      <c r="Q93" s="1"/>
      <c r="R93" s="37"/>
    </row>
    <row r="94" spans="1:18" ht="15.75" thickBot="1">
      <c r="A94" s="60" t="s">
        <v>133</v>
      </c>
      <c r="B94" s="414" t="s">
        <v>134</v>
      </c>
      <c r="C94" s="415"/>
      <c r="D94" s="416"/>
      <c r="E94" s="152">
        <v>4600</v>
      </c>
      <c r="F94" s="31">
        <f>13800+E94</f>
        <v>18400</v>
      </c>
      <c r="G94" s="45">
        <v>4400</v>
      </c>
      <c r="H94" s="74"/>
      <c r="I94" s="74"/>
      <c r="J94" s="74"/>
      <c r="K94" s="94">
        <f>G94</f>
        <v>4400</v>
      </c>
      <c r="L94" s="33">
        <f>22000+K94</f>
        <v>26400</v>
      </c>
      <c r="M94" s="34">
        <f t="shared" si="8"/>
        <v>200</v>
      </c>
      <c r="N94" s="35">
        <f t="shared" si="8"/>
        <v>-8000</v>
      </c>
      <c r="O94" s="64">
        <v>0</v>
      </c>
      <c r="P94" s="65">
        <v>0</v>
      </c>
      <c r="Q94" s="1"/>
      <c r="R94" s="1"/>
    </row>
    <row r="95" spans="1:18" ht="15.75" thickBot="1">
      <c r="A95" s="60" t="s">
        <v>135</v>
      </c>
      <c r="B95" s="420" t="s">
        <v>136</v>
      </c>
      <c r="C95" s="421"/>
      <c r="D95" s="422"/>
      <c r="E95" s="152"/>
      <c r="F95" s="31">
        <f>0+E95</f>
        <v>0</v>
      </c>
      <c r="G95" s="45"/>
      <c r="H95" s="74"/>
      <c r="I95" s="74"/>
      <c r="J95" s="74"/>
      <c r="K95" s="94">
        <f t="shared" si="9"/>
        <v>0</v>
      </c>
      <c r="L95" s="33">
        <f>0+K95</f>
        <v>0</v>
      </c>
      <c r="M95" s="34">
        <f t="shared" si="8"/>
        <v>0</v>
      </c>
      <c r="N95" s="35">
        <f t="shared" si="8"/>
        <v>0</v>
      </c>
      <c r="O95" s="64">
        <v>0</v>
      </c>
      <c r="P95" s="65">
        <v>0</v>
      </c>
      <c r="Q95" s="1"/>
      <c r="R95" s="1"/>
    </row>
    <row r="96" spans="1:18" ht="15.75" thickBot="1">
      <c r="A96" s="60" t="s">
        <v>137</v>
      </c>
      <c r="B96" s="420" t="s">
        <v>138</v>
      </c>
      <c r="C96" s="421"/>
      <c r="D96" s="422"/>
      <c r="E96" s="152">
        <v>1420</v>
      </c>
      <c r="F96" s="31">
        <f>4260+E96</f>
        <v>5680</v>
      </c>
      <c r="G96" s="45"/>
      <c r="H96" s="74"/>
      <c r="I96" s="74"/>
      <c r="J96" s="74"/>
      <c r="K96" s="94">
        <f t="shared" si="9"/>
        <v>0</v>
      </c>
      <c r="L96" s="33">
        <f>5765+K96</f>
        <v>5765</v>
      </c>
      <c r="M96" s="34">
        <f t="shared" si="8"/>
        <v>1420</v>
      </c>
      <c r="N96" s="35">
        <f t="shared" si="8"/>
        <v>-85</v>
      </c>
      <c r="O96" s="64">
        <v>0</v>
      </c>
      <c r="P96" s="65">
        <v>0</v>
      </c>
      <c r="Q96" s="1"/>
      <c r="R96" s="1"/>
    </row>
    <row r="97" spans="1:18" ht="15.75" thickBot="1">
      <c r="A97" s="60" t="s">
        <v>139</v>
      </c>
      <c r="B97" s="420" t="s">
        <v>140</v>
      </c>
      <c r="C97" s="421"/>
      <c r="D97" s="422"/>
      <c r="E97" s="152">
        <v>7500</v>
      </c>
      <c r="F97" s="31">
        <f>22500+E97</f>
        <v>30000</v>
      </c>
      <c r="G97" s="45">
        <v>5816.12</v>
      </c>
      <c r="H97" s="74"/>
      <c r="I97" s="74"/>
      <c r="J97" s="74"/>
      <c r="K97" s="94">
        <f>G97+I97</f>
        <v>5816.12</v>
      </c>
      <c r="L97" s="33">
        <f>23027.07+K97</f>
        <v>28843.19</v>
      </c>
      <c r="M97" s="34">
        <f t="shared" si="8"/>
        <v>1683.88</v>
      </c>
      <c r="N97" s="35">
        <f t="shared" si="8"/>
        <v>1156.8100000000013</v>
      </c>
      <c r="O97" s="64">
        <v>0</v>
      </c>
      <c r="P97" s="65">
        <v>0</v>
      </c>
      <c r="Q97" s="1"/>
      <c r="R97" s="71"/>
    </row>
    <row r="98" spans="1:16" ht="15.75" thickBot="1">
      <c r="A98" s="60" t="s">
        <v>141</v>
      </c>
      <c r="B98" s="491" t="s">
        <v>142</v>
      </c>
      <c r="C98" s="492"/>
      <c r="D98" s="493"/>
      <c r="E98" s="152">
        <v>2910</v>
      </c>
      <c r="F98" s="31">
        <f>8730+E98</f>
        <v>11640</v>
      </c>
      <c r="G98" s="45">
        <v>1500</v>
      </c>
      <c r="H98" s="74"/>
      <c r="I98" s="74"/>
      <c r="J98" s="74"/>
      <c r="K98" s="94">
        <f t="shared" si="9"/>
        <v>1500</v>
      </c>
      <c r="L98" s="33">
        <f>11744+K98</f>
        <v>13244</v>
      </c>
      <c r="M98" s="34">
        <f t="shared" si="8"/>
        <v>1410</v>
      </c>
      <c r="N98" s="35">
        <f t="shared" si="8"/>
        <v>-1604</v>
      </c>
      <c r="O98" s="64">
        <v>0</v>
      </c>
      <c r="P98" s="65">
        <v>0</v>
      </c>
    </row>
    <row r="99" spans="1:16" ht="15.75" thickBot="1">
      <c r="A99" s="60" t="s">
        <v>143</v>
      </c>
      <c r="B99" s="420" t="s">
        <v>144</v>
      </c>
      <c r="C99" s="421"/>
      <c r="D99" s="422"/>
      <c r="E99" s="152"/>
      <c r="F99" s="31">
        <f>8000+E99</f>
        <v>8000</v>
      </c>
      <c r="G99" s="45"/>
      <c r="H99" s="74"/>
      <c r="I99" s="74"/>
      <c r="J99" s="74"/>
      <c r="K99" s="94">
        <f t="shared" si="9"/>
        <v>0</v>
      </c>
      <c r="L99" s="33">
        <f>5000+K99</f>
        <v>5000</v>
      </c>
      <c r="M99" s="34">
        <f t="shared" si="8"/>
        <v>0</v>
      </c>
      <c r="N99" s="35">
        <f t="shared" si="8"/>
        <v>3000</v>
      </c>
      <c r="O99" s="64">
        <v>0</v>
      </c>
      <c r="P99" s="65">
        <v>0</v>
      </c>
    </row>
    <row r="100" spans="1:16" ht="15.75" thickBot="1">
      <c r="A100" s="60" t="s">
        <v>145</v>
      </c>
      <c r="B100" s="420" t="s">
        <v>146</v>
      </c>
      <c r="C100" s="421"/>
      <c r="D100" s="422"/>
      <c r="E100" s="152">
        <v>9800</v>
      </c>
      <c r="F100" s="31">
        <f>19600+E100</f>
        <v>29400</v>
      </c>
      <c r="G100" s="45"/>
      <c r="H100" s="74"/>
      <c r="I100" s="74"/>
      <c r="J100" s="74"/>
      <c r="K100" s="94">
        <f>G100</f>
        <v>0</v>
      </c>
      <c r="L100" s="33">
        <f>63386.66+K100</f>
        <v>63386.66</v>
      </c>
      <c r="M100" s="34">
        <f t="shared" si="8"/>
        <v>9800</v>
      </c>
      <c r="N100" s="35">
        <f t="shared" si="8"/>
        <v>-33986.66</v>
      </c>
      <c r="O100" s="64">
        <v>0</v>
      </c>
      <c r="P100" s="65">
        <v>0</v>
      </c>
    </row>
    <row r="101" spans="1:18" ht="33.75" customHeight="1" thickBot="1">
      <c r="A101" s="86" t="s">
        <v>147</v>
      </c>
      <c r="B101" s="423" t="s">
        <v>148</v>
      </c>
      <c r="C101" s="424"/>
      <c r="D101" s="425"/>
      <c r="E101" s="73">
        <f>E102+E103</f>
        <v>152200</v>
      </c>
      <c r="F101" s="73">
        <f>F102+F103+F104+F105</f>
        <v>261700</v>
      </c>
      <c r="G101" s="73">
        <f>G102+G104+G105</f>
        <v>4570.67</v>
      </c>
      <c r="H101" s="75">
        <f>H103</f>
        <v>0</v>
      </c>
      <c r="I101" s="55">
        <f>I104</f>
        <v>0</v>
      </c>
      <c r="J101" s="55"/>
      <c r="K101" s="73">
        <f>G101+H101+I101+J101</f>
        <v>4570.67</v>
      </c>
      <c r="L101" s="55">
        <f>L102+L103+L104+L105</f>
        <v>435706.45999999996</v>
      </c>
      <c r="M101" s="56">
        <f t="shared" si="8"/>
        <v>147629.33</v>
      </c>
      <c r="N101" s="70">
        <f t="shared" si="8"/>
        <v>-174006.45999999996</v>
      </c>
      <c r="O101" s="58">
        <v>0</v>
      </c>
      <c r="P101" s="59">
        <v>0</v>
      </c>
      <c r="R101" s="95"/>
    </row>
    <row r="102" spans="1:18" ht="15.75" thickBot="1">
      <c r="A102" s="60" t="s">
        <v>149</v>
      </c>
      <c r="B102" s="405" t="s">
        <v>53</v>
      </c>
      <c r="C102" s="406"/>
      <c r="D102" s="407"/>
      <c r="E102" s="61">
        <f>E106+E107+E114+E119+E131+E113+E128+E115+E120</f>
        <v>152200</v>
      </c>
      <c r="F102" s="31">
        <f>109500+E102</f>
        <v>261700</v>
      </c>
      <c r="G102" s="74">
        <f>G113+G114+G118+G120+G128+G119</f>
        <v>4570.67</v>
      </c>
      <c r="H102" s="74"/>
      <c r="I102" s="33"/>
      <c r="J102" s="33"/>
      <c r="K102" s="94">
        <f>G102</f>
        <v>4570.67</v>
      </c>
      <c r="L102" s="33">
        <f>431135.79+K102</f>
        <v>435706.45999999996</v>
      </c>
      <c r="M102" s="34">
        <f t="shared" si="8"/>
        <v>147629.33</v>
      </c>
      <c r="N102" s="35">
        <f t="shared" si="8"/>
        <v>-174006.45999999996</v>
      </c>
      <c r="O102" s="64">
        <v>0</v>
      </c>
      <c r="P102" s="65">
        <v>0</v>
      </c>
      <c r="R102" s="95"/>
    </row>
    <row r="103" spans="1:18" ht="15.75" thickBot="1">
      <c r="A103" s="60" t="s">
        <v>150</v>
      </c>
      <c r="B103" s="457" t="s">
        <v>51</v>
      </c>
      <c r="C103" s="458"/>
      <c r="D103" s="459"/>
      <c r="E103" s="61">
        <f>E129</f>
        <v>0</v>
      </c>
      <c r="F103" s="31">
        <f>0+E103</f>
        <v>0</v>
      </c>
      <c r="G103" s="74"/>
      <c r="H103" s="74">
        <f>H129</f>
        <v>0</v>
      </c>
      <c r="I103" s="33"/>
      <c r="J103" s="33"/>
      <c r="K103" s="94">
        <f>H103</f>
        <v>0</v>
      </c>
      <c r="L103" s="33">
        <f>0+K103</f>
        <v>0</v>
      </c>
      <c r="M103" s="34">
        <f t="shared" si="8"/>
        <v>0</v>
      </c>
      <c r="N103" s="35">
        <f t="shared" si="8"/>
        <v>0</v>
      </c>
      <c r="O103" s="64">
        <v>0</v>
      </c>
      <c r="P103" s="65">
        <v>0</v>
      </c>
      <c r="R103" s="96"/>
    </row>
    <row r="104" spans="1:16" ht="15.75" thickBot="1">
      <c r="A104" s="60" t="s">
        <v>151</v>
      </c>
      <c r="B104" s="405" t="s">
        <v>104</v>
      </c>
      <c r="C104" s="406"/>
      <c r="D104" s="407"/>
      <c r="E104" s="61"/>
      <c r="F104" s="31"/>
      <c r="G104" s="31"/>
      <c r="H104" s="74"/>
      <c r="I104" s="33">
        <f>I128+I117+I131</f>
        <v>0</v>
      </c>
      <c r="J104" s="33"/>
      <c r="K104" s="94">
        <f>I104</f>
        <v>0</v>
      </c>
      <c r="L104" s="33">
        <f>0+K104</f>
        <v>0</v>
      </c>
      <c r="M104" s="34">
        <f aca="true" t="shared" si="10" ref="M104:N120">E104-K104</f>
        <v>0</v>
      </c>
      <c r="N104" s="35">
        <f t="shared" si="10"/>
        <v>0</v>
      </c>
      <c r="O104" s="64">
        <v>0</v>
      </c>
      <c r="P104" s="65">
        <v>0</v>
      </c>
    </row>
    <row r="105" spans="1:18" ht="15.75" thickBot="1">
      <c r="A105" s="60" t="s">
        <v>152</v>
      </c>
      <c r="B105" s="457" t="s">
        <v>55</v>
      </c>
      <c r="C105" s="458"/>
      <c r="D105" s="459"/>
      <c r="E105" s="61"/>
      <c r="F105" s="31"/>
      <c r="G105" s="74"/>
      <c r="H105" s="74"/>
      <c r="I105" s="33"/>
      <c r="J105" s="33"/>
      <c r="K105" s="94">
        <f>G105</f>
        <v>0</v>
      </c>
      <c r="L105" s="33">
        <f>0+K105</f>
        <v>0</v>
      </c>
      <c r="M105" s="34">
        <f t="shared" si="10"/>
        <v>0</v>
      </c>
      <c r="N105" s="35">
        <f t="shared" si="10"/>
        <v>0</v>
      </c>
      <c r="O105" s="64">
        <v>0</v>
      </c>
      <c r="P105" s="65">
        <v>0</v>
      </c>
      <c r="R105" s="95"/>
    </row>
    <row r="106" spans="1:16" ht="28.5" customHeight="1" thickBot="1">
      <c r="A106" s="60" t="s">
        <v>153</v>
      </c>
      <c r="B106" s="460" t="s">
        <v>154</v>
      </c>
      <c r="C106" s="461"/>
      <c r="D106" s="462"/>
      <c r="E106" s="31"/>
      <c r="F106" s="31">
        <f>40000+E106</f>
        <v>40000</v>
      </c>
      <c r="G106" s="74"/>
      <c r="H106" s="74"/>
      <c r="I106" s="74"/>
      <c r="J106" s="74"/>
      <c r="K106" s="94">
        <f aca="true" t="shared" si="11" ref="K106:K120">G106</f>
        <v>0</v>
      </c>
      <c r="L106" s="33">
        <f>0+K106</f>
        <v>0</v>
      </c>
      <c r="M106" s="34">
        <f t="shared" si="10"/>
        <v>0</v>
      </c>
      <c r="N106" s="35">
        <f t="shared" si="10"/>
        <v>40000</v>
      </c>
      <c r="O106" s="64">
        <v>0</v>
      </c>
      <c r="P106" s="65">
        <v>0</v>
      </c>
    </row>
    <row r="107" spans="1:16" ht="24.75" customHeight="1" thickBot="1">
      <c r="A107" s="60" t="s">
        <v>155</v>
      </c>
      <c r="B107" s="420" t="s">
        <v>156</v>
      </c>
      <c r="C107" s="421"/>
      <c r="D107" s="422"/>
      <c r="E107" s="31"/>
      <c r="F107" s="31">
        <f>11200+E107</f>
        <v>11200</v>
      </c>
      <c r="G107" s="74"/>
      <c r="H107" s="74"/>
      <c r="I107" s="74"/>
      <c r="J107" s="74"/>
      <c r="K107" s="94">
        <f t="shared" si="11"/>
        <v>0</v>
      </c>
      <c r="L107" s="33">
        <f>0+K107</f>
        <v>0</v>
      </c>
      <c r="M107" s="34">
        <f t="shared" si="10"/>
        <v>0</v>
      </c>
      <c r="N107" s="35">
        <f t="shared" si="10"/>
        <v>11200</v>
      </c>
      <c r="O107" s="64">
        <v>0</v>
      </c>
      <c r="P107" s="65">
        <v>0</v>
      </c>
    </row>
    <row r="108" spans="1:16" ht="28.5" customHeight="1" thickBot="1">
      <c r="A108" s="60" t="s">
        <v>157</v>
      </c>
      <c r="B108" s="466" t="s">
        <v>158</v>
      </c>
      <c r="C108" s="467"/>
      <c r="D108" s="468"/>
      <c r="E108" s="31"/>
      <c r="F108" s="31"/>
      <c r="G108" s="74"/>
      <c r="H108" s="74"/>
      <c r="I108" s="74"/>
      <c r="J108" s="74"/>
      <c r="K108" s="94">
        <f t="shared" si="11"/>
        <v>0</v>
      </c>
      <c r="L108" s="33">
        <f>0+K108</f>
        <v>0</v>
      </c>
      <c r="M108" s="34">
        <f t="shared" si="10"/>
        <v>0</v>
      </c>
      <c r="N108" s="35">
        <f t="shared" si="10"/>
        <v>0</v>
      </c>
      <c r="O108" s="64">
        <v>0</v>
      </c>
      <c r="P108" s="65">
        <v>0</v>
      </c>
    </row>
    <row r="109" spans="1:16" ht="21" customHeight="1" thickBot="1">
      <c r="A109" s="60" t="s">
        <v>159</v>
      </c>
      <c r="B109" s="420" t="s">
        <v>160</v>
      </c>
      <c r="C109" s="421"/>
      <c r="D109" s="422"/>
      <c r="E109" s="31"/>
      <c r="F109" s="31"/>
      <c r="G109" s="74"/>
      <c r="H109" s="74"/>
      <c r="I109" s="74"/>
      <c r="J109" s="74"/>
      <c r="K109" s="94">
        <f t="shared" si="11"/>
        <v>0</v>
      </c>
      <c r="L109" s="33">
        <f>0+K109</f>
        <v>0</v>
      </c>
      <c r="M109" s="34">
        <f t="shared" si="10"/>
        <v>0</v>
      </c>
      <c r="N109" s="35">
        <f t="shared" si="10"/>
        <v>0</v>
      </c>
      <c r="O109" s="64">
        <v>0</v>
      </c>
      <c r="P109" s="65">
        <v>0</v>
      </c>
    </row>
    <row r="110" spans="1:18" ht="29.25" customHeight="1" thickBot="1">
      <c r="A110" s="60" t="s">
        <v>161</v>
      </c>
      <c r="B110" s="420" t="s">
        <v>162</v>
      </c>
      <c r="C110" s="421"/>
      <c r="D110" s="422"/>
      <c r="E110" s="31"/>
      <c r="F110" s="31"/>
      <c r="G110" s="74"/>
      <c r="H110" s="74"/>
      <c r="I110" s="74"/>
      <c r="J110" s="74"/>
      <c r="K110" s="94">
        <f t="shared" si="11"/>
        <v>0</v>
      </c>
      <c r="L110" s="33">
        <f>0+K110</f>
        <v>0</v>
      </c>
      <c r="M110" s="34">
        <f t="shared" si="10"/>
        <v>0</v>
      </c>
      <c r="N110" s="35">
        <f t="shared" si="10"/>
        <v>0</v>
      </c>
      <c r="O110" s="64">
        <v>0</v>
      </c>
      <c r="P110" s="65">
        <v>0</v>
      </c>
      <c r="R110" s="96"/>
    </row>
    <row r="111" spans="1:16" ht="27" customHeight="1" thickBot="1">
      <c r="A111" s="60" t="s">
        <v>163</v>
      </c>
      <c r="B111" s="466" t="s">
        <v>164</v>
      </c>
      <c r="C111" s="467"/>
      <c r="D111" s="468"/>
      <c r="E111" s="31"/>
      <c r="F111" s="31"/>
      <c r="G111" s="74"/>
      <c r="H111" s="74"/>
      <c r="I111" s="74"/>
      <c r="J111" s="74"/>
      <c r="K111" s="94">
        <f t="shared" si="11"/>
        <v>0</v>
      </c>
      <c r="L111" s="33">
        <f>0+K111</f>
        <v>0</v>
      </c>
      <c r="M111" s="34">
        <f t="shared" si="10"/>
        <v>0</v>
      </c>
      <c r="N111" s="35">
        <f t="shared" si="10"/>
        <v>0</v>
      </c>
      <c r="O111" s="64">
        <v>0</v>
      </c>
      <c r="P111" s="65">
        <v>0</v>
      </c>
    </row>
    <row r="112" spans="1:16" ht="30.75" customHeight="1" thickBot="1">
      <c r="A112" s="60" t="s">
        <v>165</v>
      </c>
      <c r="B112" s="420" t="s">
        <v>166</v>
      </c>
      <c r="C112" s="421"/>
      <c r="D112" s="422"/>
      <c r="E112" s="31"/>
      <c r="F112" s="31"/>
      <c r="G112" s="74"/>
      <c r="H112" s="74"/>
      <c r="I112" s="74"/>
      <c r="J112" s="74"/>
      <c r="K112" s="94">
        <f t="shared" si="11"/>
        <v>0</v>
      </c>
      <c r="L112" s="33">
        <f>0+K112</f>
        <v>0</v>
      </c>
      <c r="M112" s="34">
        <f t="shared" si="10"/>
        <v>0</v>
      </c>
      <c r="N112" s="35">
        <f t="shared" si="10"/>
        <v>0</v>
      </c>
      <c r="O112" s="64">
        <v>0</v>
      </c>
      <c r="P112" s="65">
        <v>0</v>
      </c>
    </row>
    <row r="113" spans="1:18" ht="26.25" customHeight="1" thickBot="1">
      <c r="A113" s="60" t="s">
        <v>167</v>
      </c>
      <c r="B113" s="420" t="s">
        <v>168</v>
      </c>
      <c r="C113" s="421"/>
      <c r="D113" s="422"/>
      <c r="E113" s="31"/>
      <c r="F113" s="31"/>
      <c r="G113" s="74"/>
      <c r="H113" s="74"/>
      <c r="I113" s="74"/>
      <c r="J113" s="74"/>
      <c r="K113" s="94">
        <f t="shared" si="11"/>
        <v>0</v>
      </c>
      <c r="L113" s="33">
        <f>35790+K113</f>
        <v>35790</v>
      </c>
      <c r="M113" s="34">
        <f t="shared" si="10"/>
        <v>0</v>
      </c>
      <c r="N113" s="35">
        <f t="shared" si="10"/>
        <v>-35790</v>
      </c>
      <c r="O113" s="64">
        <v>0</v>
      </c>
      <c r="P113" s="65">
        <v>0</v>
      </c>
      <c r="R113" s="95"/>
    </row>
    <row r="114" spans="1:16" ht="27.75" customHeight="1" thickBot="1">
      <c r="A114" s="60" t="s">
        <v>169</v>
      </c>
      <c r="B114" s="420" t="s">
        <v>170</v>
      </c>
      <c r="C114" s="421"/>
      <c r="D114" s="422"/>
      <c r="E114" s="31">
        <v>1000</v>
      </c>
      <c r="F114" s="31">
        <f>3000+E114</f>
        <v>4000</v>
      </c>
      <c r="G114" s="74">
        <v>2770.67</v>
      </c>
      <c r="H114" s="74"/>
      <c r="I114" s="74"/>
      <c r="J114" s="74"/>
      <c r="K114" s="94">
        <f t="shared" si="11"/>
        <v>2770.67</v>
      </c>
      <c r="L114" s="33">
        <f>7367.79+K114</f>
        <v>10138.46</v>
      </c>
      <c r="M114" s="34">
        <f>E114-K114</f>
        <v>-1770.67</v>
      </c>
      <c r="N114" s="35">
        <f t="shared" si="10"/>
        <v>-6138.459999999999</v>
      </c>
      <c r="O114" s="64">
        <v>0</v>
      </c>
      <c r="P114" s="65">
        <v>0</v>
      </c>
    </row>
    <row r="115" spans="1:16" ht="30.75" customHeight="1" thickBot="1">
      <c r="A115" s="60" t="s">
        <v>171</v>
      </c>
      <c r="B115" s="420" t="s">
        <v>172</v>
      </c>
      <c r="C115" s="421"/>
      <c r="D115" s="422"/>
      <c r="E115" s="31"/>
      <c r="F115" s="31">
        <f>4000+E115</f>
        <v>4000</v>
      </c>
      <c r="G115" s="74"/>
      <c r="H115" s="74"/>
      <c r="I115" s="74"/>
      <c r="J115" s="74"/>
      <c r="K115" s="94">
        <f t="shared" si="11"/>
        <v>0</v>
      </c>
      <c r="L115" s="33">
        <f>0+K115</f>
        <v>0</v>
      </c>
      <c r="M115" s="34">
        <f t="shared" si="10"/>
        <v>0</v>
      </c>
      <c r="N115" s="35">
        <f t="shared" si="10"/>
        <v>4000</v>
      </c>
      <c r="O115" s="64">
        <v>0</v>
      </c>
      <c r="P115" s="65">
        <v>0</v>
      </c>
    </row>
    <row r="116" spans="1:16" ht="27.75" customHeight="1" thickBot="1">
      <c r="A116" s="60" t="s">
        <v>173</v>
      </c>
      <c r="B116" s="420" t="s">
        <v>174</v>
      </c>
      <c r="C116" s="421"/>
      <c r="D116" s="422"/>
      <c r="E116" s="31"/>
      <c r="F116" s="31"/>
      <c r="G116" s="74"/>
      <c r="H116" s="74"/>
      <c r="I116" s="74"/>
      <c r="J116" s="74"/>
      <c r="K116" s="94">
        <f t="shared" si="11"/>
        <v>0</v>
      </c>
      <c r="L116" s="33">
        <f>0+K116</f>
        <v>0</v>
      </c>
      <c r="M116" s="34">
        <f t="shared" si="10"/>
        <v>0</v>
      </c>
      <c r="N116" s="35">
        <f t="shared" si="10"/>
        <v>0</v>
      </c>
      <c r="O116" s="64">
        <v>0</v>
      </c>
      <c r="P116" s="65">
        <v>0</v>
      </c>
    </row>
    <row r="117" spans="1:16" ht="29.25" customHeight="1" thickBot="1">
      <c r="A117" s="60"/>
      <c r="B117" s="420" t="s">
        <v>175</v>
      </c>
      <c r="C117" s="421"/>
      <c r="D117" s="422"/>
      <c r="E117" s="31"/>
      <c r="F117" s="31"/>
      <c r="G117" s="74"/>
      <c r="H117" s="74"/>
      <c r="I117" s="74"/>
      <c r="J117" s="74"/>
      <c r="K117" s="94">
        <f>I117</f>
        <v>0</v>
      </c>
      <c r="L117" s="33">
        <f>0+K117</f>
        <v>0</v>
      </c>
      <c r="M117" s="34">
        <f t="shared" si="10"/>
        <v>0</v>
      </c>
      <c r="N117" s="35">
        <f t="shared" si="10"/>
        <v>0</v>
      </c>
      <c r="O117" s="64">
        <v>0</v>
      </c>
      <c r="P117" s="65">
        <v>0</v>
      </c>
    </row>
    <row r="118" spans="1:16" ht="30" customHeight="1" thickBot="1">
      <c r="A118" s="60" t="s">
        <v>176</v>
      </c>
      <c r="B118" s="420" t="s">
        <v>177</v>
      </c>
      <c r="C118" s="421"/>
      <c r="D118" s="422"/>
      <c r="E118" s="31"/>
      <c r="F118" s="31"/>
      <c r="G118" s="74"/>
      <c r="H118" s="74"/>
      <c r="I118" s="74"/>
      <c r="J118" s="74"/>
      <c r="K118" s="94">
        <f>G118</f>
        <v>0</v>
      </c>
      <c r="L118" s="33">
        <f>1356.68+K118</f>
        <v>1356.68</v>
      </c>
      <c r="M118" s="34">
        <f t="shared" si="10"/>
        <v>0</v>
      </c>
      <c r="N118" s="35">
        <f t="shared" si="10"/>
        <v>-1356.68</v>
      </c>
      <c r="O118" s="64">
        <v>0</v>
      </c>
      <c r="P118" s="65">
        <v>0</v>
      </c>
    </row>
    <row r="119" spans="1:18" ht="31.5" customHeight="1" thickBot="1">
      <c r="A119" s="60" t="s">
        <v>178</v>
      </c>
      <c r="B119" s="463" t="s">
        <v>179</v>
      </c>
      <c r="C119" s="464"/>
      <c r="D119" s="465"/>
      <c r="E119" s="31"/>
      <c r="F119" s="31"/>
      <c r="G119" s="74"/>
      <c r="H119" s="74"/>
      <c r="I119" s="74"/>
      <c r="J119" s="74"/>
      <c r="K119" s="94">
        <f>G119</f>
        <v>0</v>
      </c>
      <c r="L119" s="33">
        <f>6546+K119</f>
        <v>6546</v>
      </c>
      <c r="M119" s="34">
        <f t="shared" si="10"/>
        <v>0</v>
      </c>
      <c r="N119" s="35">
        <f t="shared" si="10"/>
        <v>-6546</v>
      </c>
      <c r="O119" s="64">
        <v>0</v>
      </c>
      <c r="P119" s="65">
        <v>0</v>
      </c>
      <c r="R119" s="96"/>
    </row>
    <row r="120" spans="1:16" ht="29.25" customHeight="1" thickBot="1">
      <c r="A120" s="97" t="s">
        <v>180</v>
      </c>
      <c r="B120" s="420" t="s">
        <v>181</v>
      </c>
      <c r="C120" s="421"/>
      <c r="D120" s="422"/>
      <c r="E120" s="31">
        <v>1200</v>
      </c>
      <c r="F120" s="31">
        <f>3100+E120</f>
        <v>4300</v>
      </c>
      <c r="G120" s="74">
        <v>1800</v>
      </c>
      <c r="H120" s="74"/>
      <c r="I120" s="74"/>
      <c r="J120" s="74"/>
      <c r="K120" s="94">
        <f t="shared" si="11"/>
        <v>1800</v>
      </c>
      <c r="L120" s="33">
        <f>8550+K120</f>
        <v>10350</v>
      </c>
      <c r="M120" s="34">
        <f t="shared" si="10"/>
        <v>-600</v>
      </c>
      <c r="N120" s="35">
        <f t="shared" si="10"/>
        <v>-6050</v>
      </c>
      <c r="O120" s="64">
        <v>0</v>
      </c>
      <c r="P120" s="65">
        <v>0</v>
      </c>
    </row>
    <row r="121" spans="1:16" ht="15">
      <c r="A121" s="98"/>
      <c r="B121" s="396" t="s">
        <v>43</v>
      </c>
      <c r="C121" s="396"/>
      <c r="D121" s="396"/>
      <c r="E121" s="396"/>
      <c r="F121" s="396"/>
      <c r="G121" s="396"/>
      <c r="H121" s="396"/>
      <c r="I121" s="396"/>
      <c r="J121" s="396"/>
      <c r="K121" s="396"/>
      <c r="L121" s="396"/>
      <c r="M121" s="396"/>
      <c r="N121" s="396"/>
      <c r="O121" s="396"/>
      <c r="P121" s="397"/>
    </row>
    <row r="122" spans="1:16" ht="3.75" customHeight="1" thickBot="1">
      <c r="A122" s="99"/>
      <c r="B122" s="399"/>
      <c r="C122" s="399"/>
      <c r="D122" s="399"/>
      <c r="E122" s="399"/>
      <c r="F122" s="399"/>
      <c r="G122" s="399"/>
      <c r="H122" s="399"/>
      <c r="I122" s="399"/>
      <c r="J122" s="399"/>
      <c r="K122" s="399"/>
      <c r="L122" s="399"/>
      <c r="M122" s="399"/>
      <c r="N122" s="399"/>
      <c r="O122" s="399"/>
      <c r="P122" s="400"/>
    </row>
    <row r="123" spans="1:16" ht="15.75" thickBot="1">
      <c r="A123" s="100"/>
      <c r="B123" s="471" t="s">
        <v>14</v>
      </c>
      <c r="C123" s="472"/>
      <c r="D123" s="473"/>
      <c r="E123" s="477" t="s">
        <v>24</v>
      </c>
      <c r="F123" s="479" t="s">
        <v>25</v>
      </c>
      <c r="G123" s="481" t="s">
        <v>44</v>
      </c>
      <c r="H123" s="482"/>
      <c r="I123" s="482"/>
      <c r="J123" s="482"/>
      <c r="K123" s="483"/>
      <c r="L123" s="469" t="s">
        <v>16</v>
      </c>
      <c r="M123" s="469" t="s">
        <v>17</v>
      </c>
      <c r="N123" s="469" t="s">
        <v>18</v>
      </c>
      <c r="O123" s="469" t="s">
        <v>19</v>
      </c>
      <c r="P123" s="469" t="s">
        <v>20</v>
      </c>
    </row>
    <row r="124" spans="1:16" ht="60.75" customHeight="1" thickBot="1">
      <c r="A124" s="198"/>
      <c r="B124" s="474"/>
      <c r="C124" s="475"/>
      <c r="D124" s="476"/>
      <c r="E124" s="478"/>
      <c r="F124" s="480"/>
      <c r="G124" s="102" t="s">
        <v>45</v>
      </c>
      <c r="H124" s="102" t="s">
        <v>46</v>
      </c>
      <c r="I124" s="102" t="s">
        <v>47</v>
      </c>
      <c r="J124" s="103" t="s">
        <v>48</v>
      </c>
      <c r="K124" s="104" t="s">
        <v>27</v>
      </c>
      <c r="L124" s="470"/>
      <c r="M124" s="470"/>
      <c r="N124" s="470"/>
      <c r="O124" s="470"/>
      <c r="P124" s="470"/>
    </row>
    <row r="125" spans="1:16" ht="15.75" thickBot="1">
      <c r="A125" s="105"/>
      <c r="B125" s="342">
        <v>1</v>
      </c>
      <c r="C125" s="343"/>
      <c r="D125" s="344"/>
      <c r="E125" s="17" t="s">
        <v>22</v>
      </c>
      <c r="F125" s="191">
        <v>3</v>
      </c>
      <c r="G125" s="191">
        <v>4</v>
      </c>
      <c r="H125" s="191">
        <v>5</v>
      </c>
      <c r="I125" s="7">
        <v>6</v>
      </c>
      <c r="J125" s="7">
        <v>7</v>
      </c>
      <c r="K125" s="48">
        <v>8</v>
      </c>
      <c r="L125" s="195">
        <v>9</v>
      </c>
      <c r="M125" s="7">
        <v>10</v>
      </c>
      <c r="N125" s="195">
        <v>11</v>
      </c>
      <c r="O125" s="7">
        <v>12</v>
      </c>
      <c r="P125" s="195">
        <v>13</v>
      </c>
    </row>
    <row r="126" spans="1:16" ht="41.25" thickBot="1">
      <c r="A126" s="106" t="s">
        <v>182</v>
      </c>
      <c r="B126" s="411" t="s">
        <v>183</v>
      </c>
      <c r="C126" s="412"/>
      <c r="D126" s="413"/>
      <c r="E126" s="31"/>
      <c r="F126" s="31"/>
      <c r="G126" s="74"/>
      <c r="H126" s="74"/>
      <c r="I126" s="74"/>
      <c r="J126" s="74"/>
      <c r="K126" s="94">
        <f aca="true" t="shared" si="12" ref="K126:K140">G126</f>
        <v>0</v>
      </c>
      <c r="L126" s="33">
        <f>0+K126</f>
        <v>0</v>
      </c>
      <c r="M126" s="34">
        <f aca="true" t="shared" si="13" ref="M126:N141">E126-K126</f>
        <v>0</v>
      </c>
      <c r="N126" s="35">
        <f t="shared" si="13"/>
        <v>0</v>
      </c>
      <c r="O126" s="64">
        <v>0</v>
      </c>
      <c r="P126" s="65">
        <v>0</v>
      </c>
    </row>
    <row r="127" spans="1:16" ht="41.25" thickBot="1">
      <c r="A127" s="107" t="s">
        <v>184</v>
      </c>
      <c r="B127" s="426" t="s">
        <v>185</v>
      </c>
      <c r="C127" s="427"/>
      <c r="D127" s="428"/>
      <c r="E127" s="31"/>
      <c r="F127" s="31"/>
      <c r="G127" s="74"/>
      <c r="H127" s="74"/>
      <c r="I127" s="74"/>
      <c r="J127" s="74"/>
      <c r="K127" s="94">
        <f t="shared" si="12"/>
        <v>0</v>
      </c>
      <c r="L127" s="33">
        <f>0+K127</f>
        <v>0</v>
      </c>
      <c r="M127" s="34">
        <f t="shared" si="13"/>
        <v>0</v>
      </c>
      <c r="N127" s="35">
        <f t="shared" si="13"/>
        <v>0</v>
      </c>
      <c r="O127" s="64">
        <v>0</v>
      </c>
      <c r="P127" s="65">
        <v>0</v>
      </c>
    </row>
    <row r="128" spans="1:16" ht="45.75" thickBot="1">
      <c r="A128" s="108" t="s">
        <v>186</v>
      </c>
      <c r="B128" s="426" t="s">
        <v>187</v>
      </c>
      <c r="C128" s="427"/>
      <c r="D128" s="428"/>
      <c r="E128" s="31">
        <v>150000</v>
      </c>
      <c r="F128" s="31">
        <f>0+E128</f>
        <v>150000</v>
      </c>
      <c r="G128" s="74"/>
      <c r="H128" s="74"/>
      <c r="I128" s="74"/>
      <c r="J128" s="74"/>
      <c r="K128" s="94">
        <f>I128+G128</f>
        <v>0</v>
      </c>
      <c r="L128" s="33">
        <f>371525.32+K128</f>
        <v>371525.32</v>
      </c>
      <c r="M128" s="34">
        <f t="shared" si="13"/>
        <v>150000</v>
      </c>
      <c r="N128" s="35">
        <f t="shared" si="13"/>
        <v>-221525.32</v>
      </c>
      <c r="O128" s="64">
        <v>0</v>
      </c>
      <c r="P128" s="65">
        <v>0</v>
      </c>
    </row>
    <row r="129" spans="1:16" ht="44.25" customHeight="1" thickBot="1">
      <c r="A129" s="108" t="s">
        <v>188</v>
      </c>
      <c r="B129" s="426" t="s">
        <v>189</v>
      </c>
      <c r="C129" s="427"/>
      <c r="D129" s="428"/>
      <c r="E129" s="31"/>
      <c r="F129" s="31">
        <f>0+E129</f>
        <v>0</v>
      </c>
      <c r="G129" s="74"/>
      <c r="H129" s="74"/>
      <c r="I129" s="74"/>
      <c r="J129" s="74"/>
      <c r="K129" s="94">
        <f>H129</f>
        <v>0</v>
      </c>
      <c r="L129" s="33">
        <f>0+K129</f>
        <v>0</v>
      </c>
      <c r="M129" s="34">
        <f t="shared" si="13"/>
        <v>0</v>
      </c>
      <c r="N129" s="35">
        <f t="shared" si="13"/>
        <v>0</v>
      </c>
      <c r="O129" s="64">
        <v>0</v>
      </c>
      <c r="P129" s="65">
        <v>0</v>
      </c>
    </row>
    <row r="130" spans="1:16" ht="35.25" customHeight="1" thickBot="1">
      <c r="A130" s="109" t="s">
        <v>190</v>
      </c>
      <c r="B130" s="426" t="s">
        <v>191</v>
      </c>
      <c r="C130" s="427"/>
      <c r="D130" s="428"/>
      <c r="E130" s="31"/>
      <c r="F130" s="31"/>
      <c r="G130" s="74"/>
      <c r="H130" s="74"/>
      <c r="I130" s="74"/>
      <c r="J130" s="74"/>
      <c r="K130" s="94">
        <f>G130</f>
        <v>0</v>
      </c>
      <c r="L130" s="33">
        <f>0+K130</f>
        <v>0</v>
      </c>
      <c r="M130" s="34">
        <f t="shared" si="13"/>
        <v>0</v>
      </c>
      <c r="N130" s="35">
        <f t="shared" si="13"/>
        <v>0</v>
      </c>
      <c r="O130" s="64">
        <v>0</v>
      </c>
      <c r="P130" s="65">
        <v>0</v>
      </c>
    </row>
    <row r="131" spans="1:16" ht="41.25" customHeight="1" thickBot="1">
      <c r="A131" s="109" t="s">
        <v>192</v>
      </c>
      <c r="B131" s="494" t="s">
        <v>193</v>
      </c>
      <c r="C131" s="495"/>
      <c r="D131" s="496"/>
      <c r="E131" s="31"/>
      <c r="F131" s="31">
        <f>6000+E131</f>
        <v>6000</v>
      </c>
      <c r="G131" s="74"/>
      <c r="H131" s="74"/>
      <c r="I131" s="74"/>
      <c r="J131" s="74"/>
      <c r="K131" s="94">
        <f>G131+I131</f>
        <v>0</v>
      </c>
      <c r="L131" s="33">
        <f>0+K131</f>
        <v>0</v>
      </c>
      <c r="M131" s="34">
        <f t="shared" si="13"/>
        <v>0</v>
      </c>
      <c r="N131" s="35">
        <f t="shared" si="13"/>
        <v>6000</v>
      </c>
      <c r="O131" s="64">
        <v>0</v>
      </c>
      <c r="P131" s="65">
        <v>0</v>
      </c>
    </row>
    <row r="132" spans="1:19" ht="36.75" customHeight="1" thickBot="1">
      <c r="A132" s="110">
        <v>15</v>
      </c>
      <c r="B132" s="418" t="s">
        <v>194</v>
      </c>
      <c r="C132" s="418"/>
      <c r="D132" s="419"/>
      <c r="E132" s="73">
        <f>E133+E134</f>
        <v>10000</v>
      </c>
      <c r="F132" s="73">
        <f>F133</f>
        <v>40000</v>
      </c>
      <c r="G132" s="75">
        <f>G133+G134</f>
        <v>0</v>
      </c>
      <c r="H132" s="74"/>
      <c r="I132" s="74"/>
      <c r="J132" s="74"/>
      <c r="K132" s="93">
        <f t="shared" si="12"/>
        <v>0</v>
      </c>
      <c r="L132" s="55">
        <f>L133+L134</f>
        <v>13440.82</v>
      </c>
      <c r="M132" s="56">
        <f t="shared" si="13"/>
        <v>10000</v>
      </c>
      <c r="N132" s="70">
        <f t="shared" si="13"/>
        <v>26559.18</v>
      </c>
      <c r="O132" s="58">
        <v>0</v>
      </c>
      <c r="P132" s="59">
        <v>0</v>
      </c>
      <c r="Q132" s="1"/>
      <c r="R132" s="1"/>
      <c r="S132" s="1"/>
    </row>
    <row r="133" spans="1:19" ht="29.25" customHeight="1" thickBot="1">
      <c r="A133" s="60" t="s">
        <v>195</v>
      </c>
      <c r="B133" s="405" t="s">
        <v>53</v>
      </c>
      <c r="C133" s="406"/>
      <c r="D133" s="407"/>
      <c r="E133" s="155">
        <v>10000</v>
      </c>
      <c r="F133" s="31">
        <f>30000+E133</f>
        <v>40000</v>
      </c>
      <c r="G133" s="74"/>
      <c r="H133" s="74"/>
      <c r="I133" s="74"/>
      <c r="J133" s="74"/>
      <c r="K133" s="94">
        <f t="shared" si="12"/>
        <v>0</v>
      </c>
      <c r="L133" s="33">
        <f>13440.82+K133</f>
        <v>13440.82</v>
      </c>
      <c r="M133" s="34">
        <f t="shared" si="13"/>
        <v>10000</v>
      </c>
      <c r="N133" s="35">
        <f t="shared" si="13"/>
        <v>26559.18</v>
      </c>
      <c r="O133" s="64">
        <v>0</v>
      </c>
      <c r="P133" s="65">
        <v>0</v>
      </c>
      <c r="Q133" s="1"/>
      <c r="R133" s="1"/>
      <c r="S133" s="1"/>
    </row>
    <row r="134" spans="1:19" ht="32.25" customHeight="1" thickBot="1">
      <c r="A134" s="60" t="s">
        <v>196</v>
      </c>
      <c r="B134" s="405" t="s">
        <v>104</v>
      </c>
      <c r="C134" s="406"/>
      <c r="D134" s="407"/>
      <c r="E134" s="61"/>
      <c r="F134" s="31"/>
      <c r="G134" s="74"/>
      <c r="H134" s="74"/>
      <c r="I134" s="74"/>
      <c r="J134" s="74"/>
      <c r="K134" s="94">
        <f t="shared" si="12"/>
        <v>0</v>
      </c>
      <c r="L134" s="33">
        <f>0+K134</f>
        <v>0</v>
      </c>
      <c r="M134" s="34">
        <f t="shared" si="13"/>
        <v>0</v>
      </c>
      <c r="N134" s="35">
        <f t="shared" si="13"/>
        <v>0</v>
      </c>
      <c r="O134" s="64">
        <v>0</v>
      </c>
      <c r="P134" s="65">
        <v>0</v>
      </c>
      <c r="Q134" s="1"/>
      <c r="R134" s="1"/>
      <c r="S134" s="1"/>
    </row>
    <row r="135" spans="1:19" ht="31.5" customHeight="1" thickBot="1">
      <c r="A135" s="111">
        <v>16</v>
      </c>
      <c r="B135" s="418" t="s">
        <v>197</v>
      </c>
      <c r="C135" s="418"/>
      <c r="D135" s="419"/>
      <c r="E135" s="31">
        <v>0</v>
      </c>
      <c r="F135" s="73">
        <f>F136</f>
        <v>0</v>
      </c>
      <c r="G135" s="75">
        <f>G136+G137</f>
        <v>0</v>
      </c>
      <c r="H135" s="74"/>
      <c r="I135" s="74"/>
      <c r="J135" s="74"/>
      <c r="K135" s="93">
        <f t="shared" si="12"/>
        <v>0</v>
      </c>
      <c r="L135" s="55">
        <f>0+K135</f>
        <v>0</v>
      </c>
      <c r="M135" s="56">
        <f t="shared" si="13"/>
        <v>0</v>
      </c>
      <c r="N135" s="70">
        <f t="shared" si="13"/>
        <v>0</v>
      </c>
      <c r="O135" s="58">
        <v>0</v>
      </c>
      <c r="P135" s="59">
        <v>0</v>
      </c>
      <c r="Q135" s="1"/>
      <c r="R135" s="1"/>
      <c r="S135" s="1"/>
    </row>
    <row r="136" spans="1:19" ht="34.5" customHeight="1" thickBot="1">
      <c r="A136" s="60" t="s">
        <v>198</v>
      </c>
      <c r="B136" s="405" t="s">
        <v>53</v>
      </c>
      <c r="C136" s="406"/>
      <c r="D136" s="407"/>
      <c r="E136" s="61"/>
      <c r="F136" s="31">
        <v>0</v>
      </c>
      <c r="G136" s="74"/>
      <c r="H136" s="74"/>
      <c r="I136" s="74"/>
      <c r="J136" s="74"/>
      <c r="K136" s="94">
        <f t="shared" si="12"/>
        <v>0</v>
      </c>
      <c r="L136" s="33">
        <f>0+K136</f>
        <v>0</v>
      </c>
      <c r="M136" s="34">
        <f t="shared" si="13"/>
        <v>0</v>
      </c>
      <c r="N136" s="35">
        <f t="shared" si="13"/>
        <v>0</v>
      </c>
      <c r="O136" s="64">
        <v>0</v>
      </c>
      <c r="P136" s="65">
        <v>0</v>
      </c>
      <c r="Q136" s="1"/>
      <c r="R136" s="1"/>
      <c r="S136" s="1"/>
    </row>
    <row r="137" spans="1:19" ht="41.25" customHeight="1" thickBot="1">
      <c r="A137" s="60" t="s">
        <v>199</v>
      </c>
      <c r="B137" s="405" t="s">
        <v>104</v>
      </c>
      <c r="C137" s="406"/>
      <c r="D137" s="407"/>
      <c r="E137" s="61"/>
      <c r="F137" s="31"/>
      <c r="G137" s="74"/>
      <c r="H137" s="74"/>
      <c r="I137" s="74"/>
      <c r="J137" s="74"/>
      <c r="K137" s="94">
        <f t="shared" si="12"/>
        <v>0</v>
      </c>
      <c r="L137" s="33">
        <f>0+K137</f>
        <v>0</v>
      </c>
      <c r="M137" s="34">
        <f t="shared" si="13"/>
        <v>0</v>
      </c>
      <c r="N137" s="35">
        <f t="shared" si="13"/>
        <v>0</v>
      </c>
      <c r="O137" s="64">
        <v>0</v>
      </c>
      <c r="P137" s="65">
        <v>0</v>
      </c>
      <c r="Q137" s="1"/>
      <c r="R137" s="1"/>
      <c r="S137" s="1"/>
    </row>
    <row r="138" spans="1:19" ht="47.25" customHeight="1" thickBot="1">
      <c r="A138" s="110">
        <v>17</v>
      </c>
      <c r="B138" s="418" t="s">
        <v>200</v>
      </c>
      <c r="C138" s="418"/>
      <c r="D138" s="419"/>
      <c r="E138" s="73">
        <v>0</v>
      </c>
      <c r="F138" s="73">
        <f>F139</f>
        <v>5504</v>
      </c>
      <c r="G138" s="75">
        <f>G139+G140</f>
        <v>0</v>
      </c>
      <c r="H138" s="75"/>
      <c r="I138" s="75"/>
      <c r="J138" s="75"/>
      <c r="K138" s="93">
        <f t="shared" si="12"/>
        <v>0</v>
      </c>
      <c r="L138" s="55">
        <f>L139</f>
        <v>23504</v>
      </c>
      <c r="M138" s="56">
        <f t="shared" si="13"/>
        <v>0</v>
      </c>
      <c r="N138" s="70">
        <f t="shared" si="13"/>
        <v>-18000</v>
      </c>
      <c r="O138" s="58">
        <v>0</v>
      </c>
      <c r="P138" s="59">
        <v>0</v>
      </c>
      <c r="Q138" s="1"/>
      <c r="R138" s="1"/>
      <c r="S138" s="1"/>
    </row>
    <row r="139" spans="1:19" ht="27" customHeight="1" thickBot="1">
      <c r="A139" s="60" t="s">
        <v>201</v>
      </c>
      <c r="B139" s="405" t="s">
        <v>53</v>
      </c>
      <c r="C139" s="406"/>
      <c r="D139" s="407"/>
      <c r="E139" s="61"/>
      <c r="F139" s="31">
        <f>5504+E139</f>
        <v>5504</v>
      </c>
      <c r="G139" s="74"/>
      <c r="H139" s="74"/>
      <c r="I139" s="74"/>
      <c r="J139" s="74"/>
      <c r="K139" s="94">
        <f t="shared" si="12"/>
        <v>0</v>
      </c>
      <c r="L139" s="33">
        <f>23504+K139</f>
        <v>23504</v>
      </c>
      <c r="M139" s="34">
        <f t="shared" si="13"/>
        <v>0</v>
      </c>
      <c r="N139" s="35">
        <f t="shared" si="13"/>
        <v>-18000</v>
      </c>
      <c r="O139" s="64">
        <v>0</v>
      </c>
      <c r="P139" s="65">
        <v>0</v>
      </c>
      <c r="Q139" s="1"/>
      <c r="R139" s="1"/>
      <c r="S139" s="1"/>
    </row>
    <row r="140" spans="1:19" ht="29.25" customHeight="1" thickBot="1">
      <c r="A140" s="60" t="s">
        <v>202</v>
      </c>
      <c r="B140" s="405" t="s">
        <v>104</v>
      </c>
      <c r="C140" s="406"/>
      <c r="D140" s="407"/>
      <c r="E140" s="61"/>
      <c r="F140" s="31"/>
      <c r="G140" s="74"/>
      <c r="H140" s="74"/>
      <c r="I140" s="74"/>
      <c r="J140" s="74"/>
      <c r="K140" s="94">
        <f t="shared" si="12"/>
        <v>0</v>
      </c>
      <c r="L140" s="33">
        <f>0+K140</f>
        <v>0</v>
      </c>
      <c r="M140" s="34">
        <f t="shared" si="13"/>
        <v>0</v>
      </c>
      <c r="N140" s="35">
        <f t="shared" si="13"/>
        <v>0</v>
      </c>
      <c r="O140" s="64">
        <v>0</v>
      </c>
      <c r="P140" s="65">
        <v>0</v>
      </c>
      <c r="Q140" s="1"/>
      <c r="R140" s="1"/>
      <c r="S140" s="1"/>
    </row>
    <row r="141" spans="1:19" ht="22.5" customHeight="1" thickBot="1">
      <c r="A141" s="110">
        <v>18</v>
      </c>
      <c r="B141" s="424" t="s">
        <v>42</v>
      </c>
      <c r="C141" s="424"/>
      <c r="D141" s="425"/>
      <c r="E141" s="31">
        <v>0</v>
      </c>
      <c r="F141" s="31"/>
      <c r="G141" s="74"/>
      <c r="H141" s="74"/>
      <c r="I141" s="74"/>
      <c r="J141" s="75">
        <v>170648.57</v>
      </c>
      <c r="K141" s="93">
        <f>J141</f>
        <v>170648.57</v>
      </c>
      <c r="L141" s="55">
        <f>562157.05+K141</f>
        <v>732805.6200000001</v>
      </c>
      <c r="M141" s="56">
        <f>E141-K141</f>
        <v>-170648.57</v>
      </c>
      <c r="N141" s="70">
        <f t="shared" si="13"/>
        <v>-732805.6200000001</v>
      </c>
      <c r="O141" s="58">
        <v>0</v>
      </c>
      <c r="P141" s="59">
        <v>0</v>
      </c>
      <c r="Q141" s="1"/>
      <c r="R141" s="1"/>
      <c r="S141" s="1"/>
    </row>
    <row r="142" spans="1:19" ht="59.25" customHeight="1" thickBot="1">
      <c r="A142" s="112"/>
      <c r="B142" s="488" t="s">
        <v>203</v>
      </c>
      <c r="C142" s="488"/>
      <c r="D142" s="488"/>
      <c r="E142" s="488"/>
      <c r="F142" s="113"/>
      <c r="G142" s="113" t="s">
        <v>4</v>
      </c>
      <c r="H142" s="193" t="s">
        <v>5</v>
      </c>
      <c r="I142" s="338" t="s">
        <v>6</v>
      </c>
      <c r="J142" s="339"/>
      <c r="K142" s="8" t="s">
        <v>11</v>
      </c>
      <c r="L142" s="7" t="s">
        <v>8</v>
      </c>
      <c r="M142" s="7" t="s">
        <v>9</v>
      </c>
      <c r="N142" s="115" t="s">
        <v>10</v>
      </c>
      <c r="O142" s="116"/>
      <c r="P142" s="194"/>
      <c r="Q142" s="1"/>
      <c r="R142" s="1"/>
      <c r="S142" s="1"/>
    </row>
    <row r="143" spans="1:19" ht="23.25" customHeight="1" thickBot="1">
      <c r="A143" s="118"/>
      <c r="B143" s="488" t="s">
        <v>12</v>
      </c>
      <c r="C143" s="488"/>
      <c r="D143" s="488"/>
      <c r="E143" s="489"/>
      <c r="F143" s="119"/>
      <c r="G143" s="119">
        <v>0</v>
      </c>
      <c r="H143" s="4">
        <v>0</v>
      </c>
      <c r="I143" s="330">
        <v>0</v>
      </c>
      <c r="J143" s="331"/>
      <c r="K143" s="120"/>
      <c r="L143" s="4">
        <v>0</v>
      </c>
      <c r="M143" s="189">
        <v>0</v>
      </c>
      <c r="N143" s="189">
        <v>0</v>
      </c>
      <c r="O143" s="4"/>
      <c r="P143" s="4">
        <v>0</v>
      </c>
      <c r="Q143" s="1"/>
      <c r="R143" s="1"/>
      <c r="S143" s="1"/>
    </row>
    <row r="144" spans="1:19" ht="27" customHeight="1" thickBot="1">
      <c r="A144" s="112"/>
      <c r="B144" s="488" t="s">
        <v>13</v>
      </c>
      <c r="C144" s="488"/>
      <c r="D144" s="488"/>
      <c r="E144" s="489"/>
      <c r="F144" s="4"/>
      <c r="G144" s="4">
        <f>F10+G17-G32-G36-G40-G45-G55-G65-G68-G72-G75-G79-G89-G102-G133-G136-G139-G81</f>
        <v>-99959.83999999994</v>
      </c>
      <c r="H144" s="4">
        <f>G18+H10-H29</f>
        <v>453350.6</v>
      </c>
      <c r="I144" s="330">
        <f>I10+G19-I104-I66-I97-I76</f>
        <v>0</v>
      </c>
      <c r="J144" s="331"/>
      <c r="K144" s="120">
        <f>O10+G22-J54</f>
        <v>57880.93</v>
      </c>
      <c r="L144" s="4">
        <f>L10+G23-J141</f>
        <v>149389.91999999998</v>
      </c>
      <c r="M144" s="189">
        <v>0</v>
      </c>
      <c r="N144" s="4">
        <v>0</v>
      </c>
      <c r="O144" s="121"/>
      <c r="P144" s="4">
        <f>SUM(G144:O144)</f>
        <v>560661.61</v>
      </c>
      <c r="Q144" s="1"/>
      <c r="R144" s="80"/>
      <c r="S144" s="37"/>
    </row>
    <row r="145" spans="1:19" ht="24.75" customHeight="1" thickBot="1">
      <c r="A145" s="122"/>
      <c r="B145" s="323" t="s">
        <v>225</v>
      </c>
      <c r="C145" s="323"/>
      <c r="D145" s="323"/>
      <c r="E145" s="324"/>
      <c r="F145" s="325"/>
      <c r="G145" s="325"/>
      <c r="H145" s="325"/>
      <c r="I145" s="325"/>
      <c r="J145" s="325"/>
      <c r="K145" s="325"/>
      <c r="L145" s="325"/>
      <c r="M145" s="325"/>
      <c r="N145" s="484"/>
      <c r="O145" s="485"/>
      <c r="P145" s="123">
        <f>P144</f>
        <v>560661.61</v>
      </c>
      <c r="Q145" s="1"/>
      <c r="R145" s="37"/>
      <c r="S145" s="37"/>
    </row>
    <row r="146" spans="1:19" ht="15">
      <c r="A146" s="1"/>
      <c r="B146" s="124"/>
      <c r="C146" s="124"/>
      <c r="D146" s="124"/>
      <c r="E146" s="124"/>
      <c r="F146" s="125"/>
      <c r="G146" s="125"/>
      <c r="H146" s="125"/>
      <c r="I146" s="125"/>
      <c r="J146" s="125"/>
      <c r="K146" s="126"/>
      <c r="L146" s="125"/>
      <c r="M146" s="125"/>
      <c r="N146" s="125"/>
      <c r="O146" s="127"/>
      <c r="P146" s="128"/>
      <c r="Q146" s="1"/>
      <c r="R146" s="37"/>
      <c r="S146" s="1"/>
    </row>
    <row r="147" spans="1:19" ht="15">
      <c r="A147" s="1"/>
      <c r="B147" s="486" t="s">
        <v>204</v>
      </c>
      <c r="C147" s="486"/>
      <c r="D147" s="486"/>
      <c r="E147" s="486"/>
      <c r="F147" s="486"/>
      <c r="G147" s="486"/>
      <c r="H147" s="486"/>
      <c r="I147" s="486"/>
      <c r="J147" s="486"/>
      <c r="K147" s="486"/>
      <c r="L147" s="486"/>
      <c r="M147" s="486"/>
      <c r="N147" s="486"/>
      <c r="O147" s="487" t="s">
        <v>205</v>
      </c>
      <c r="P147" s="487"/>
      <c r="Q147" s="1"/>
      <c r="R147" s="80"/>
      <c r="S147" s="37"/>
    </row>
    <row r="148" spans="1:19" ht="15">
      <c r="A148" s="1"/>
      <c r="B148" s="486" t="s">
        <v>206</v>
      </c>
      <c r="C148" s="486"/>
      <c r="D148" s="486"/>
      <c r="E148" s="486"/>
      <c r="F148" s="486"/>
      <c r="G148" s="486"/>
      <c r="H148" s="486"/>
      <c r="I148" s="486"/>
      <c r="J148" s="486"/>
      <c r="K148" s="486"/>
      <c r="L148" s="486"/>
      <c r="M148" s="486"/>
      <c r="N148" s="486"/>
      <c r="O148" s="486" t="s">
        <v>207</v>
      </c>
      <c r="P148" s="486"/>
      <c r="Q148" s="1"/>
      <c r="R148" s="1"/>
      <c r="S148" s="1"/>
    </row>
    <row r="149" spans="1:19" ht="15">
      <c r="A149" s="1"/>
      <c r="B149" s="202"/>
      <c r="C149" s="202"/>
      <c r="D149" s="202"/>
      <c r="E149" s="202"/>
      <c r="F149" s="202"/>
      <c r="G149" s="202"/>
      <c r="H149" s="202"/>
      <c r="I149" s="202"/>
      <c r="J149" s="130"/>
      <c r="K149" s="131"/>
      <c r="L149" s="130"/>
      <c r="M149" s="202"/>
      <c r="N149" s="202"/>
      <c r="O149" s="202"/>
      <c r="P149" s="130"/>
      <c r="Q149" s="1"/>
      <c r="R149" s="37"/>
      <c r="S149" s="1"/>
    </row>
    <row r="151" spans="1:19" ht="15">
      <c r="A151" s="1"/>
      <c r="B151" s="1"/>
      <c r="C151" s="1"/>
      <c r="D151" s="1"/>
      <c r="E151" s="1"/>
      <c r="F151" s="1"/>
      <c r="G151" s="1"/>
      <c r="H151" s="1"/>
      <c r="I151" s="132"/>
      <c r="J151" s="1"/>
      <c r="K151" s="1"/>
      <c r="L151" s="1"/>
      <c r="M151" s="1"/>
      <c r="N151" s="1"/>
      <c r="O151" s="1"/>
      <c r="P151" s="1"/>
      <c r="Q151" s="1"/>
      <c r="R151" s="37"/>
      <c r="S151" s="1"/>
    </row>
    <row r="152" spans="1:19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37"/>
      <c r="S152" s="1"/>
    </row>
    <row r="153" spans="1:19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7"/>
      <c r="O153" s="1"/>
      <c r="P153" s="1"/>
      <c r="Q153" s="1"/>
      <c r="R153" s="1"/>
      <c r="S153" s="1"/>
    </row>
    <row r="154" spans="12:16" ht="15">
      <c r="L154" s="1"/>
      <c r="M154" s="1"/>
      <c r="N154" s="37"/>
      <c r="O154" s="1"/>
      <c r="P154" s="37"/>
    </row>
    <row r="155" spans="12:16" ht="15">
      <c r="L155" s="1"/>
      <c r="M155" s="1"/>
      <c r="N155" s="133"/>
      <c r="O155" s="1"/>
      <c r="P155" s="37"/>
    </row>
    <row r="156" spans="12:16" ht="15">
      <c r="L156" s="37"/>
      <c r="M156" s="1"/>
      <c r="N156" s="1"/>
      <c r="O156" s="1"/>
      <c r="P156" s="1"/>
    </row>
    <row r="157" spans="12:16" ht="15">
      <c r="L157" s="37"/>
      <c r="M157" s="37"/>
      <c r="N157" s="1"/>
      <c r="O157" s="1"/>
      <c r="P157" s="1"/>
    </row>
  </sheetData>
  <sheetProtection/>
  <mergeCells count="203">
    <mergeCell ref="B1:P1"/>
    <mergeCell ref="B2:P2"/>
    <mergeCell ref="B3:P3"/>
    <mergeCell ref="B4:P4"/>
    <mergeCell ref="B5:E5"/>
    <mergeCell ref="F5:O5"/>
    <mergeCell ref="B9:E9"/>
    <mergeCell ref="F9:G9"/>
    <mergeCell ref="I9:J9"/>
    <mergeCell ref="B10:E10"/>
    <mergeCell ref="F10:G10"/>
    <mergeCell ref="I10:J10"/>
    <mergeCell ref="B6:E6"/>
    <mergeCell ref="F6:O6"/>
    <mergeCell ref="B7:E7"/>
    <mergeCell ref="F7:P7"/>
    <mergeCell ref="B8:E8"/>
    <mergeCell ref="F8:G8"/>
    <mergeCell ref="I8:J8"/>
    <mergeCell ref="P12:P13"/>
    <mergeCell ref="B14:D14"/>
    <mergeCell ref="G14:J14"/>
    <mergeCell ref="A15:A16"/>
    <mergeCell ref="B15:D16"/>
    <mergeCell ref="G15:J15"/>
    <mergeCell ref="G16:J16"/>
    <mergeCell ref="B11:E11"/>
    <mergeCell ref="F11:P11"/>
    <mergeCell ref="A12:A13"/>
    <mergeCell ref="B12:E13"/>
    <mergeCell ref="F12:F13"/>
    <mergeCell ref="G12:K13"/>
    <mergeCell ref="L12:L13"/>
    <mergeCell ref="M12:M13"/>
    <mergeCell ref="N12:N13"/>
    <mergeCell ref="O12:O13"/>
    <mergeCell ref="B20:D20"/>
    <mergeCell ref="G20:J20"/>
    <mergeCell ref="B21:D21"/>
    <mergeCell ref="G21:J21"/>
    <mergeCell ref="B22:D22"/>
    <mergeCell ref="G22:J22"/>
    <mergeCell ref="B17:D17"/>
    <mergeCell ref="G17:J17"/>
    <mergeCell ref="B18:D18"/>
    <mergeCell ref="G18:J18"/>
    <mergeCell ref="B19:D19"/>
    <mergeCell ref="G19:J19"/>
    <mergeCell ref="P26:P27"/>
    <mergeCell ref="B28:D28"/>
    <mergeCell ref="B29:D29"/>
    <mergeCell ref="B23:D23"/>
    <mergeCell ref="G23:J23"/>
    <mergeCell ref="A24:A25"/>
    <mergeCell ref="B24:P25"/>
    <mergeCell ref="A26:A27"/>
    <mergeCell ref="B26:D27"/>
    <mergeCell ref="E26:E27"/>
    <mergeCell ref="F26:F27"/>
    <mergeCell ref="G26:K26"/>
    <mergeCell ref="L26:L27"/>
    <mergeCell ref="B30:D30"/>
    <mergeCell ref="B31:D31"/>
    <mergeCell ref="B32:D32"/>
    <mergeCell ref="B33:D33"/>
    <mergeCell ref="B34:D34"/>
    <mergeCell ref="B35:D35"/>
    <mergeCell ref="M26:M27"/>
    <mergeCell ref="N26:N27"/>
    <mergeCell ref="O26:O27"/>
    <mergeCell ref="B42:D42"/>
    <mergeCell ref="B43:D43"/>
    <mergeCell ref="B44:D44"/>
    <mergeCell ref="B45:D45"/>
    <mergeCell ref="B46:D46"/>
    <mergeCell ref="B48:D48"/>
    <mergeCell ref="B36:D36"/>
    <mergeCell ref="B37:D37"/>
    <mergeCell ref="B38:D38"/>
    <mergeCell ref="B39:D39"/>
    <mergeCell ref="B40:D40"/>
    <mergeCell ref="B41:D41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79:D79"/>
    <mergeCell ref="B80:D80"/>
    <mergeCell ref="B81:D81"/>
    <mergeCell ref="B82:D82"/>
    <mergeCell ref="A83:A84"/>
    <mergeCell ref="B83:P84"/>
    <mergeCell ref="B73:D73"/>
    <mergeCell ref="B74:D74"/>
    <mergeCell ref="B75:D75"/>
    <mergeCell ref="B76:D76"/>
    <mergeCell ref="B77:D77"/>
    <mergeCell ref="B78:D78"/>
    <mergeCell ref="P85:P86"/>
    <mergeCell ref="B87:D87"/>
    <mergeCell ref="B88:D88"/>
    <mergeCell ref="A85:A86"/>
    <mergeCell ref="B85:D86"/>
    <mergeCell ref="E85:E86"/>
    <mergeCell ref="F85:F86"/>
    <mergeCell ref="G85:K85"/>
    <mergeCell ref="L85:L86"/>
    <mergeCell ref="B89:D89"/>
    <mergeCell ref="B90:D90"/>
    <mergeCell ref="B91:D91"/>
    <mergeCell ref="B92:D92"/>
    <mergeCell ref="B93:D93"/>
    <mergeCell ref="B94:D94"/>
    <mergeCell ref="M85:M86"/>
    <mergeCell ref="N85:N86"/>
    <mergeCell ref="O85:O86"/>
    <mergeCell ref="B101:D101"/>
    <mergeCell ref="B102:D102"/>
    <mergeCell ref="B103:D103"/>
    <mergeCell ref="B104:D104"/>
    <mergeCell ref="B105:D105"/>
    <mergeCell ref="B106:D106"/>
    <mergeCell ref="B95:D95"/>
    <mergeCell ref="B96:D96"/>
    <mergeCell ref="B97:D97"/>
    <mergeCell ref="B98:D98"/>
    <mergeCell ref="B99:D99"/>
    <mergeCell ref="B100:D100"/>
    <mergeCell ref="B113:D113"/>
    <mergeCell ref="B114:D114"/>
    <mergeCell ref="B115:D115"/>
    <mergeCell ref="B116:D116"/>
    <mergeCell ref="B117:D117"/>
    <mergeCell ref="B118:D118"/>
    <mergeCell ref="B107:D107"/>
    <mergeCell ref="B108:D108"/>
    <mergeCell ref="B109:D109"/>
    <mergeCell ref="B110:D110"/>
    <mergeCell ref="B111:D111"/>
    <mergeCell ref="B112:D112"/>
    <mergeCell ref="O123:O124"/>
    <mergeCell ref="P123:P124"/>
    <mergeCell ref="B125:D125"/>
    <mergeCell ref="B126:D126"/>
    <mergeCell ref="B127:D127"/>
    <mergeCell ref="B128:D128"/>
    <mergeCell ref="B119:D119"/>
    <mergeCell ref="B120:D120"/>
    <mergeCell ref="B121:P122"/>
    <mergeCell ref="B123:D124"/>
    <mergeCell ref="E123:E124"/>
    <mergeCell ref="F123:F124"/>
    <mergeCell ref="G123:K123"/>
    <mergeCell ref="L123:L124"/>
    <mergeCell ref="M123:M124"/>
    <mergeCell ref="N123:N124"/>
    <mergeCell ref="B135:D135"/>
    <mergeCell ref="B136:D136"/>
    <mergeCell ref="B137:D137"/>
    <mergeCell ref="B138:D138"/>
    <mergeCell ref="B139:D139"/>
    <mergeCell ref="B140:D140"/>
    <mergeCell ref="B129:D129"/>
    <mergeCell ref="B130:D130"/>
    <mergeCell ref="B131:D131"/>
    <mergeCell ref="B132:D132"/>
    <mergeCell ref="B133:D133"/>
    <mergeCell ref="B134:D134"/>
    <mergeCell ref="B145:E145"/>
    <mergeCell ref="F145:O145"/>
    <mergeCell ref="B147:E147"/>
    <mergeCell ref="F147:N147"/>
    <mergeCell ref="O147:P147"/>
    <mergeCell ref="B148:E148"/>
    <mergeCell ref="F148:N148"/>
    <mergeCell ref="O148:P148"/>
    <mergeCell ref="B141:D141"/>
    <mergeCell ref="B142:E142"/>
    <mergeCell ref="I142:J142"/>
    <mergeCell ref="B143:E143"/>
    <mergeCell ref="I143:J143"/>
    <mergeCell ref="B144:E144"/>
    <mergeCell ref="I144:J144"/>
  </mergeCells>
  <printOptions/>
  <pageMargins left="0" right="0" top="0" bottom="0" header="0.11811023622047245" footer="0.11811023622047245"/>
  <pageSetup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7"/>
  <sheetViews>
    <sheetView tabSelected="1" zoomScalePageLayoutView="0" workbookViewId="0" topLeftCell="A88">
      <selection activeCell="R104" sqref="R104:R106"/>
    </sheetView>
  </sheetViews>
  <sheetFormatPr defaultColWidth="9.140625" defaultRowHeight="15"/>
  <cols>
    <col min="1" max="1" width="3.28125" style="2" customWidth="1"/>
    <col min="2" max="3" width="9.140625" style="2" customWidth="1"/>
    <col min="4" max="4" width="5.140625" style="2" customWidth="1"/>
    <col min="5" max="5" width="12.7109375" style="2" customWidth="1"/>
    <col min="6" max="6" width="14.00390625" style="2" customWidth="1"/>
    <col min="7" max="7" width="11.421875" style="2" customWidth="1"/>
    <col min="8" max="8" width="12.8515625" style="2" customWidth="1"/>
    <col min="9" max="9" width="7.00390625" style="2" customWidth="1"/>
    <col min="10" max="10" width="6.57421875" style="2" customWidth="1"/>
    <col min="11" max="11" width="13.00390625" style="2" customWidth="1"/>
    <col min="12" max="12" width="13.8515625" style="2" customWidth="1"/>
    <col min="13" max="13" width="12.140625" style="2" customWidth="1"/>
    <col min="14" max="14" width="12.7109375" style="2" customWidth="1"/>
    <col min="15" max="15" width="8.28125" style="2" customWidth="1"/>
    <col min="16" max="16" width="9.28125" style="2" customWidth="1"/>
    <col min="17" max="17" width="9.140625" style="2" customWidth="1"/>
    <col min="18" max="18" width="11.7109375" style="2" customWidth="1"/>
    <col min="19" max="19" width="11.140625" style="2" bestFit="1" customWidth="1"/>
    <col min="20" max="16384" width="9.140625" style="2" customWidth="1"/>
  </cols>
  <sheetData>
    <row r="1" spans="1:16" ht="15">
      <c r="A1" s="1"/>
      <c r="B1" s="318" t="s">
        <v>0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</row>
    <row r="2" spans="1:16" ht="15">
      <c r="A2" s="1"/>
      <c r="B2" s="319" t="s">
        <v>226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</row>
    <row r="3" spans="1:16" ht="15.75" thickBot="1">
      <c r="A3" s="1"/>
      <c r="B3" s="320" t="s">
        <v>1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</row>
    <row r="4" spans="1:16" ht="15.75" thickBot="1">
      <c r="A4" s="1"/>
      <c r="B4" s="321" t="s">
        <v>2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</row>
    <row r="5" spans="1:16" ht="15.75" thickBot="1">
      <c r="A5" s="3"/>
      <c r="B5" s="322" t="s">
        <v>209</v>
      </c>
      <c r="C5" s="323"/>
      <c r="D5" s="323"/>
      <c r="E5" s="324"/>
      <c r="F5" s="325"/>
      <c r="G5" s="325"/>
      <c r="H5" s="325"/>
      <c r="I5" s="325"/>
      <c r="J5" s="325"/>
      <c r="K5" s="325"/>
      <c r="L5" s="325"/>
      <c r="M5" s="325"/>
      <c r="N5" s="325"/>
      <c r="O5" s="326"/>
      <c r="P5" s="4">
        <v>9380.24</v>
      </c>
    </row>
    <row r="6" spans="1:16" ht="15.75" thickBot="1">
      <c r="A6" s="3"/>
      <c r="B6" s="322" t="s">
        <v>227</v>
      </c>
      <c r="C6" s="323"/>
      <c r="D6" s="323"/>
      <c r="E6" s="324"/>
      <c r="F6" s="325"/>
      <c r="G6" s="325"/>
      <c r="H6" s="325"/>
      <c r="I6" s="325"/>
      <c r="J6" s="325"/>
      <c r="K6" s="325"/>
      <c r="L6" s="325"/>
      <c r="M6" s="325"/>
      <c r="N6" s="325"/>
      <c r="O6" s="326"/>
      <c r="P6" s="207">
        <f>P10</f>
        <v>560661.6100000001</v>
      </c>
    </row>
    <row r="7" spans="1:16" ht="15.75" thickBot="1">
      <c r="A7" s="3"/>
      <c r="B7" s="332"/>
      <c r="C7" s="333"/>
      <c r="D7" s="333"/>
      <c r="E7" s="334"/>
      <c r="F7" s="335"/>
      <c r="G7" s="335"/>
      <c r="H7" s="335"/>
      <c r="I7" s="335"/>
      <c r="J7" s="335"/>
      <c r="K7" s="335"/>
      <c r="L7" s="335"/>
      <c r="M7" s="335"/>
      <c r="N7" s="336"/>
      <c r="O7" s="336"/>
      <c r="P7" s="337"/>
    </row>
    <row r="8" spans="1:16" ht="75.75" thickBot="1">
      <c r="A8" s="6"/>
      <c r="B8" s="322" t="s">
        <v>3</v>
      </c>
      <c r="C8" s="323"/>
      <c r="D8" s="323"/>
      <c r="E8" s="324"/>
      <c r="F8" s="338" t="s">
        <v>4</v>
      </c>
      <c r="G8" s="339"/>
      <c r="H8" s="7" t="s">
        <v>5</v>
      </c>
      <c r="I8" s="338" t="s">
        <v>6</v>
      </c>
      <c r="J8" s="339"/>
      <c r="K8" s="8" t="s">
        <v>7</v>
      </c>
      <c r="L8" s="7" t="s">
        <v>8</v>
      </c>
      <c r="M8" s="204" t="s">
        <v>9</v>
      </c>
      <c r="N8" s="210" t="s">
        <v>10</v>
      </c>
      <c r="O8" s="11" t="s">
        <v>11</v>
      </c>
      <c r="P8" s="12"/>
    </row>
    <row r="9" spans="1:16" ht="15.75" thickBot="1">
      <c r="A9" s="3"/>
      <c r="B9" s="327" t="s">
        <v>12</v>
      </c>
      <c r="C9" s="328"/>
      <c r="D9" s="328"/>
      <c r="E9" s="329"/>
      <c r="F9" s="330">
        <v>0</v>
      </c>
      <c r="G9" s="331"/>
      <c r="H9" s="4">
        <v>0</v>
      </c>
      <c r="I9" s="330">
        <v>0</v>
      </c>
      <c r="J9" s="331"/>
      <c r="K9" s="13">
        <v>0</v>
      </c>
      <c r="L9" s="4">
        <v>0</v>
      </c>
      <c r="M9" s="206">
        <v>0</v>
      </c>
      <c r="N9" s="4">
        <v>0</v>
      </c>
      <c r="O9" s="15">
        <v>0</v>
      </c>
      <c r="P9" s="207">
        <v>0</v>
      </c>
    </row>
    <row r="10" spans="1:16" ht="15.75" thickBot="1">
      <c r="A10" s="3"/>
      <c r="B10" s="327" t="s">
        <v>13</v>
      </c>
      <c r="C10" s="328"/>
      <c r="D10" s="328"/>
      <c r="E10" s="329"/>
      <c r="F10" s="330">
        <v>-99959.84</v>
      </c>
      <c r="G10" s="331"/>
      <c r="H10" s="4">
        <v>453350.6</v>
      </c>
      <c r="I10" s="330">
        <v>0</v>
      </c>
      <c r="J10" s="331"/>
      <c r="K10" s="13">
        <v>0</v>
      </c>
      <c r="L10" s="4">
        <v>149389.92</v>
      </c>
      <c r="M10" s="206">
        <v>0</v>
      </c>
      <c r="N10" s="4">
        <v>0</v>
      </c>
      <c r="O10" s="4">
        <v>57880.93</v>
      </c>
      <c r="P10" s="207">
        <f>SUM(F10:O10)</f>
        <v>560661.6100000001</v>
      </c>
    </row>
    <row r="11" spans="1:16" ht="15.75" thickBot="1">
      <c r="A11" s="214"/>
      <c r="B11" s="360"/>
      <c r="C11" s="361"/>
      <c r="D11" s="361"/>
      <c r="E11" s="361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3"/>
    </row>
    <row r="12" spans="1:16" ht="15">
      <c r="A12" s="346"/>
      <c r="B12" s="364" t="s">
        <v>14</v>
      </c>
      <c r="C12" s="365"/>
      <c r="D12" s="365"/>
      <c r="E12" s="366"/>
      <c r="F12" s="340"/>
      <c r="G12" s="370" t="s">
        <v>15</v>
      </c>
      <c r="H12" s="362"/>
      <c r="I12" s="362"/>
      <c r="J12" s="362"/>
      <c r="K12" s="363"/>
      <c r="L12" s="340" t="s">
        <v>16</v>
      </c>
      <c r="M12" s="340" t="s">
        <v>17</v>
      </c>
      <c r="N12" s="340" t="s">
        <v>18</v>
      </c>
      <c r="O12" s="340" t="s">
        <v>19</v>
      </c>
      <c r="P12" s="340" t="s">
        <v>20</v>
      </c>
    </row>
    <row r="13" spans="1:16" ht="82.5" customHeight="1" thickBot="1">
      <c r="A13" s="347"/>
      <c r="B13" s="367"/>
      <c r="C13" s="368"/>
      <c r="D13" s="368"/>
      <c r="E13" s="369"/>
      <c r="F13" s="341"/>
      <c r="G13" s="371"/>
      <c r="H13" s="372"/>
      <c r="I13" s="372"/>
      <c r="J13" s="372"/>
      <c r="K13" s="373"/>
      <c r="L13" s="341"/>
      <c r="M13" s="341"/>
      <c r="N13" s="341"/>
      <c r="O13" s="341"/>
      <c r="P13" s="341"/>
    </row>
    <row r="14" spans="1:16" ht="15.75" thickBot="1">
      <c r="A14" s="3"/>
      <c r="B14" s="342" t="s">
        <v>21</v>
      </c>
      <c r="C14" s="343"/>
      <c r="D14" s="344"/>
      <c r="E14" s="17" t="s">
        <v>22</v>
      </c>
      <c r="F14" s="211">
        <v>3</v>
      </c>
      <c r="G14" s="345">
        <v>4</v>
      </c>
      <c r="H14" s="335"/>
      <c r="I14" s="335"/>
      <c r="J14" s="337"/>
      <c r="K14" s="19">
        <v>5</v>
      </c>
      <c r="L14" s="209">
        <v>6</v>
      </c>
      <c r="M14" s="7">
        <v>7</v>
      </c>
      <c r="N14" s="209">
        <v>8</v>
      </c>
      <c r="O14" s="209">
        <v>9</v>
      </c>
      <c r="P14" s="7">
        <v>10</v>
      </c>
    </row>
    <row r="15" spans="1:16" ht="30" customHeight="1" thickBot="1">
      <c r="A15" s="346"/>
      <c r="B15" s="348" t="s">
        <v>23</v>
      </c>
      <c r="C15" s="349"/>
      <c r="D15" s="350"/>
      <c r="E15" s="21" t="s">
        <v>24</v>
      </c>
      <c r="F15" s="21" t="s">
        <v>25</v>
      </c>
      <c r="G15" s="354" t="s">
        <v>26</v>
      </c>
      <c r="H15" s="355"/>
      <c r="I15" s="355"/>
      <c r="J15" s="356"/>
      <c r="K15" s="22" t="s">
        <v>27</v>
      </c>
      <c r="L15" s="23" t="s">
        <v>26</v>
      </c>
      <c r="M15" s="24" t="s">
        <v>28</v>
      </c>
      <c r="N15" s="24" t="s">
        <v>26</v>
      </c>
      <c r="O15" s="24" t="s">
        <v>26</v>
      </c>
      <c r="P15" s="25" t="s">
        <v>26</v>
      </c>
    </row>
    <row r="16" spans="1:16" ht="24.75" customHeight="1" thickBot="1">
      <c r="A16" s="347"/>
      <c r="B16" s="351"/>
      <c r="C16" s="352"/>
      <c r="D16" s="353"/>
      <c r="E16" s="26">
        <f>SUM(E17:E23)</f>
        <v>2693825</v>
      </c>
      <c r="F16" s="27">
        <f>SUM(F17:F23)</f>
        <v>11482431</v>
      </c>
      <c r="G16" s="357">
        <f>G17+G18+G19+G20+G21+G22+G23</f>
        <v>1709109.1300000001</v>
      </c>
      <c r="H16" s="358"/>
      <c r="I16" s="358"/>
      <c r="J16" s="359"/>
      <c r="K16" s="216">
        <f>SUM(K17:K23)</f>
        <v>1709109.1300000001</v>
      </c>
      <c r="L16" s="216">
        <f>SUM(L17:L23)</f>
        <v>10177775.969999999</v>
      </c>
      <c r="M16" s="216">
        <f>SUM(M17:M23)</f>
        <v>984715.87</v>
      </c>
      <c r="N16" s="216">
        <f>SUM(N17:N23)</f>
        <v>1304655.0300000003</v>
      </c>
      <c r="O16" s="29">
        <v>0</v>
      </c>
      <c r="P16" s="29">
        <v>0</v>
      </c>
    </row>
    <row r="17" spans="1:18" ht="50.25" customHeight="1" thickBot="1">
      <c r="A17" s="30" t="s">
        <v>29</v>
      </c>
      <c r="B17" s="383" t="s">
        <v>30</v>
      </c>
      <c r="C17" s="384"/>
      <c r="D17" s="385"/>
      <c r="E17" s="154">
        <v>1683292</v>
      </c>
      <c r="F17" s="31">
        <f>6613450+E17</f>
        <v>8296742</v>
      </c>
      <c r="G17" s="377">
        <v>521393.81</v>
      </c>
      <c r="H17" s="378"/>
      <c r="I17" s="378"/>
      <c r="J17" s="379"/>
      <c r="K17" s="213">
        <f>G17</f>
        <v>521393.81</v>
      </c>
      <c r="L17" s="33">
        <f>5617597.51+K17</f>
        <v>6138991.319999999</v>
      </c>
      <c r="M17" s="34">
        <f>E17-K17</f>
        <v>1161898.19</v>
      </c>
      <c r="N17" s="35">
        <f>F17-L17</f>
        <v>2157750.6800000006</v>
      </c>
      <c r="O17" s="36">
        <v>0</v>
      </c>
      <c r="P17" s="36">
        <v>0</v>
      </c>
      <c r="Q17" s="1"/>
      <c r="R17" s="37">
        <v>365352.1499999948</v>
      </c>
    </row>
    <row r="18" spans="1:18" ht="38.25" customHeight="1" thickBot="1">
      <c r="A18" s="38" t="s">
        <v>31</v>
      </c>
      <c r="B18" s="386" t="s">
        <v>32</v>
      </c>
      <c r="C18" s="387"/>
      <c r="D18" s="388"/>
      <c r="E18" s="148">
        <v>1005533</v>
      </c>
      <c r="F18" s="31">
        <f>2130956+E18</f>
        <v>3136489</v>
      </c>
      <c r="G18" s="377">
        <v>1153641.2</v>
      </c>
      <c r="H18" s="378"/>
      <c r="I18" s="378"/>
      <c r="J18" s="379"/>
      <c r="K18" s="213">
        <f>G18</f>
        <v>1153641.2</v>
      </c>
      <c r="L18" s="33">
        <f>2145080.2+K18</f>
        <v>3298721.4000000004</v>
      </c>
      <c r="M18" s="34">
        <f>E18-K18</f>
        <v>-148108.19999999995</v>
      </c>
      <c r="N18" s="35">
        <f>F18-L18</f>
        <v>-162232.40000000037</v>
      </c>
      <c r="O18" s="36">
        <v>0</v>
      </c>
      <c r="P18" s="36">
        <v>0</v>
      </c>
      <c r="Q18" s="1"/>
      <c r="R18" s="1"/>
    </row>
    <row r="19" spans="1:18" ht="35.25" customHeight="1" thickBot="1">
      <c r="A19" s="38" t="s">
        <v>33</v>
      </c>
      <c r="B19" s="389" t="s">
        <v>34</v>
      </c>
      <c r="C19" s="390"/>
      <c r="D19" s="391"/>
      <c r="E19" s="39"/>
      <c r="F19" s="31">
        <f>0+E19</f>
        <v>0</v>
      </c>
      <c r="G19" s="377"/>
      <c r="H19" s="378"/>
      <c r="I19" s="378"/>
      <c r="J19" s="379"/>
      <c r="K19" s="213">
        <f>G19</f>
        <v>0</v>
      </c>
      <c r="L19" s="33">
        <f>0+K19</f>
        <v>0</v>
      </c>
      <c r="M19" s="34">
        <f aca="true" t="shared" si="0" ref="M19:N23">E19-K19</f>
        <v>0</v>
      </c>
      <c r="N19" s="35">
        <f t="shared" si="0"/>
        <v>0</v>
      </c>
      <c r="O19" s="36">
        <v>0</v>
      </c>
      <c r="P19" s="40">
        <v>0</v>
      </c>
      <c r="Q19" s="1"/>
      <c r="R19" s="1"/>
    </row>
    <row r="20" spans="1:18" ht="30" customHeight="1" thickBot="1">
      <c r="A20" s="41" t="s">
        <v>35</v>
      </c>
      <c r="B20" s="374" t="s">
        <v>36</v>
      </c>
      <c r="C20" s="375"/>
      <c r="D20" s="376"/>
      <c r="E20" s="42"/>
      <c r="F20" s="31">
        <f>0+E20</f>
        <v>0</v>
      </c>
      <c r="G20" s="377"/>
      <c r="H20" s="378"/>
      <c r="I20" s="378"/>
      <c r="J20" s="379"/>
      <c r="K20" s="213">
        <f>G20</f>
        <v>0</v>
      </c>
      <c r="L20" s="33">
        <f>0+K20</f>
        <v>0</v>
      </c>
      <c r="M20" s="34">
        <f t="shared" si="0"/>
        <v>0</v>
      </c>
      <c r="N20" s="35">
        <f t="shared" si="0"/>
        <v>0</v>
      </c>
      <c r="O20" s="36">
        <v>0</v>
      </c>
      <c r="P20" s="36">
        <v>0</v>
      </c>
      <c r="Q20" s="37"/>
      <c r="R20" s="37"/>
    </row>
    <row r="21" spans="1:18" ht="28.5" customHeight="1" thickBot="1">
      <c r="A21" s="43" t="s">
        <v>37</v>
      </c>
      <c r="B21" s="380" t="s">
        <v>38</v>
      </c>
      <c r="C21" s="381"/>
      <c r="D21" s="382"/>
      <c r="E21" s="44"/>
      <c r="F21" s="31">
        <f>0+E21</f>
        <v>0</v>
      </c>
      <c r="G21" s="377"/>
      <c r="H21" s="378"/>
      <c r="I21" s="378"/>
      <c r="J21" s="379"/>
      <c r="K21" s="213">
        <f>G21</f>
        <v>0</v>
      </c>
      <c r="L21" s="33">
        <f>0+K21</f>
        <v>0</v>
      </c>
      <c r="M21" s="34">
        <f t="shared" si="0"/>
        <v>0</v>
      </c>
      <c r="N21" s="35">
        <f t="shared" si="0"/>
        <v>0</v>
      </c>
      <c r="O21" s="36">
        <v>0</v>
      </c>
      <c r="P21" s="36">
        <v>0</v>
      </c>
      <c r="Q21" s="37"/>
      <c r="R21" s="1"/>
    </row>
    <row r="22" spans="1:18" ht="37.5" customHeight="1" thickBot="1">
      <c r="A22" s="43" t="s">
        <v>39</v>
      </c>
      <c r="B22" s="383" t="s">
        <v>40</v>
      </c>
      <c r="C22" s="384"/>
      <c r="D22" s="385"/>
      <c r="E22" s="149">
        <v>5000</v>
      </c>
      <c r="F22" s="31">
        <f>44200+E22</f>
        <v>49200</v>
      </c>
      <c r="G22" s="377">
        <v>28259.12</v>
      </c>
      <c r="H22" s="378"/>
      <c r="I22" s="378"/>
      <c r="J22" s="379"/>
      <c r="K22" s="213">
        <f>G22</f>
        <v>28259.12</v>
      </c>
      <c r="L22" s="33">
        <f>33032.59+K22</f>
        <v>61291.70999999999</v>
      </c>
      <c r="M22" s="34">
        <f>E22-K22</f>
        <v>-23259.12</v>
      </c>
      <c r="N22" s="35">
        <f t="shared" si="0"/>
        <v>-12091.709999999992</v>
      </c>
      <c r="O22" s="36">
        <v>0</v>
      </c>
      <c r="P22" s="36">
        <v>0</v>
      </c>
      <c r="Q22" s="1"/>
      <c r="R22" s="1"/>
    </row>
    <row r="23" spans="1:18" ht="28.5" customHeight="1" thickBot="1">
      <c r="A23" s="43" t="s">
        <v>41</v>
      </c>
      <c r="B23" s="392" t="s">
        <v>42</v>
      </c>
      <c r="C23" s="393"/>
      <c r="D23" s="394"/>
      <c r="E23" s="46"/>
      <c r="F23" s="31"/>
      <c r="G23" s="377">
        <v>5815</v>
      </c>
      <c r="H23" s="378"/>
      <c r="I23" s="378"/>
      <c r="J23" s="379"/>
      <c r="K23" s="213">
        <f>G23</f>
        <v>5815</v>
      </c>
      <c r="L23" s="33">
        <f>672956.54+K23</f>
        <v>678771.54</v>
      </c>
      <c r="M23" s="34">
        <f t="shared" si="0"/>
        <v>-5815</v>
      </c>
      <c r="N23" s="35">
        <f t="shared" si="0"/>
        <v>-678771.54</v>
      </c>
      <c r="O23" s="36">
        <v>0</v>
      </c>
      <c r="P23" s="36">
        <v>0</v>
      </c>
      <c r="Q23" s="1"/>
      <c r="R23" s="1"/>
    </row>
    <row r="24" spans="1:18" ht="15">
      <c r="A24" s="346"/>
      <c r="B24" s="395" t="s">
        <v>43</v>
      </c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7"/>
      <c r="Q24" s="1"/>
      <c r="R24" s="1"/>
    </row>
    <row r="25" spans="1:18" ht="15.75" thickBot="1">
      <c r="A25" s="347"/>
      <c r="B25" s="398"/>
      <c r="C25" s="399"/>
      <c r="D25" s="399"/>
      <c r="E25" s="399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400"/>
      <c r="Q25" s="1"/>
      <c r="R25" s="1"/>
    </row>
    <row r="26" spans="1:18" ht="15.75" thickBot="1">
      <c r="A26" s="346"/>
      <c r="B26" s="364" t="s">
        <v>14</v>
      </c>
      <c r="C26" s="365"/>
      <c r="D26" s="366"/>
      <c r="E26" s="401" t="s">
        <v>24</v>
      </c>
      <c r="F26" s="403" t="s">
        <v>25</v>
      </c>
      <c r="G26" s="338" t="s">
        <v>44</v>
      </c>
      <c r="H26" s="321"/>
      <c r="I26" s="321"/>
      <c r="J26" s="321"/>
      <c r="K26" s="339"/>
      <c r="L26" s="340" t="s">
        <v>16</v>
      </c>
      <c r="M26" s="340" t="s">
        <v>17</v>
      </c>
      <c r="N26" s="340" t="s">
        <v>18</v>
      </c>
      <c r="O26" s="340" t="s">
        <v>19</v>
      </c>
      <c r="P26" s="340" t="s">
        <v>20</v>
      </c>
      <c r="Q26" s="1"/>
      <c r="R26" s="1"/>
    </row>
    <row r="27" spans="1:18" ht="72.75" customHeight="1" thickBot="1">
      <c r="A27" s="347"/>
      <c r="B27" s="367"/>
      <c r="C27" s="368"/>
      <c r="D27" s="369"/>
      <c r="E27" s="402"/>
      <c r="F27" s="404"/>
      <c r="G27" s="212" t="s">
        <v>45</v>
      </c>
      <c r="H27" s="212" t="s">
        <v>46</v>
      </c>
      <c r="I27" s="212" t="s">
        <v>47</v>
      </c>
      <c r="J27" s="7" t="s">
        <v>48</v>
      </c>
      <c r="K27" s="8" t="s">
        <v>27</v>
      </c>
      <c r="L27" s="341"/>
      <c r="M27" s="341"/>
      <c r="N27" s="341"/>
      <c r="O27" s="341"/>
      <c r="P27" s="341"/>
      <c r="Q27" s="1"/>
      <c r="R27" s="37"/>
    </row>
    <row r="28" spans="1:18" ht="15.75" thickBot="1">
      <c r="A28" s="3"/>
      <c r="B28" s="342">
        <v>1</v>
      </c>
      <c r="C28" s="343"/>
      <c r="D28" s="344"/>
      <c r="E28" s="17" t="s">
        <v>22</v>
      </c>
      <c r="F28" s="212">
        <v>3</v>
      </c>
      <c r="G28" s="212">
        <v>4</v>
      </c>
      <c r="H28" s="212">
        <v>5</v>
      </c>
      <c r="I28" s="7">
        <v>6</v>
      </c>
      <c r="J28" s="7">
        <v>7</v>
      </c>
      <c r="K28" s="48">
        <v>8</v>
      </c>
      <c r="L28" s="209">
        <v>9</v>
      </c>
      <c r="M28" s="7">
        <v>10</v>
      </c>
      <c r="N28" s="209">
        <v>11</v>
      </c>
      <c r="O28" s="7">
        <v>12</v>
      </c>
      <c r="P28" s="209">
        <v>13</v>
      </c>
      <c r="Q28" s="1"/>
      <c r="R28" s="1"/>
    </row>
    <row r="29" spans="1:18" ht="15.75" thickBot="1">
      <c r="A29" s="3"/>
      <c r="B29" s="345" t="s">
        <v>23</v>
      </c>
      <c r="C29" s="335"/>
      <c r="D29" s="337"/>
      <c r="E29" s="49">
        <f>E30+E34+E38+E44+E51+E54+E64+E67+E71+E74+E78+E80+E88+E101+E132+E135+E138+E141</f>
        <v>2693825</v>
      </c>
      <c r="F29" s="49">
        <f>F30+F34+F38+F44+F51+F54+F64+F67+F71+F74+F78+F80+F88+F101+F132+F135+F138+F141</f>
        <v>11487935</v>
      </c>
      <c r="G29" s="49">
        <f>G30+G34+G38+G44+G51+G54+G64+G67+G71+G74+G78+G80+G88+G101+G132+G135+G138+G141</f>
        <v>903605.25</v>
      </c>
      <c r="H29" s="49">
        <f>H30+H34+H38+H44+H51+H54+H64+H67+H71+H74+H78+H80+H88+H101+H132+H135+H138+H141</f>
        <v>1254608.2</v>
      </c>
      <c r="I29" s="49">
        <f>I30+I34+I38+I44+I51+I54+I64+I67+I71+I74+I78+I80+I88+I101+I132+I135+I138+I141</f>
        <v>0</v>
      </c>
      <c r="J29" s="49">
        <f>J30+J34+J38+J44+J51+J54+J64+J67+J71+J74+J78+J80+J88+J101+J132+J135+J138+J141</f>
        <v>0</v>
      </c>
      <c r="K29" s="49">
        <f>K30+K34+K38+K44+K51+K54+K64+K67+K71+K74+K78+K80+K88+K101+K132+K135+K138+K141</f>
        <v>2158213.4499999997</v>
      </c>
      <c r="L29" s="49">
        <f>L30+L34+L38+L44+L51+L54+L64+L67+L71+L74+L78+L80+L88+L101+L132+L135+L138+L141</f>
        <v>10075598.919999998</v>
      </c>
      <c r="M29" s="49">
        <f>M30+M34+M38+M44+M51+M54+M64+M67+M71+M74+M78+M80+M88+M101+M132+M135+M138+M141</f>
        <v>535611.55</v>
      </c>
      <c r="N29" s="49">
        <f>N30+N34+N38+N44+N51+N54+N64+N67+N71+N74+N78+N80+N88+N101+N132+N135+N138+N141</f>
        <v>1412336.0800000005</v>
      </c>
      <c r="O29" s="50">
        <v>0</v>
      </c>
      <c r="P29" s="50">
        <v>0</v>
      </c>
      <c r="Q29" s="1"/>
      <c r="R29" s="37"/>
    </row>
    <row r="30" spans="1:18" ht="15.75" thickBot="1">
      <c r="A30" s="51" t="s">
        <v>21</v>
      </c>
      <c r="B30" s="417" t="s">
        <v>49</v>
      </c>
      <c r="C30" s="418"/>
      <c r="D30" s="419"/>
      <c r="E30" s="52">
        <f>SUM(E31:E32)</f>
        <v>1668037</v>
      </c>
      <c r="F30" s="53">
        <f>F31+F32+F33</f>
        <v>5602048</v>
      </c>
      <c r="G30" s="54">
        <f>G31+G32+G33</f>
        <v>644208.49</v>
      </c>
      <c r="H30" s="54">
        <f>H31</f>
        <v>1178875.2</v>
      </c>
      <c r="I30" s="54"/>
      <c r="J30" s="54"/>
      <c r="K30" s="53">
        <f>G30+H30</f>
        <v>1823083.69</v>
      </c>
      <c r="L30" s="55">
        <f>L31+L32</f>
        <v>5081994.9399999995</v>
      </c>
      <c r="M30" s="56">
        <f>E30-K30</f>
        <v>-155046.68999999994</v>
      </c>
      <c r="N30" s="57">
        <f>F30-L30</f>
        <v>520053.0600000005</v>
      </c>
      <c r="O30" s="58">
        <v>0</v>
      </c>
      <c r="P30" s="59">
        <v>0</v>
      </c>
      <c r="Q30" s="37"/>
      <c r="R30" s="37"/>
    </row>
    <row r="31" spans="1:18" ht="17.25" customHeight="1" thickBot="1">
      <c r="A31" s="60" t="s">
        <v>50</v>
      </c>
      <c r="B31" s="411" t="s">
        <v>51</v>
      </c>
      <c r="C31" s="412"/>
      <c r="D31" s="413"/>
      <c r="E31" s="187">
        <v>836550</v>
      </c>
      <c r="F31" s="31">
        <f>1772842+E31</f>
        <v>2609392</v>
      </c>
      <c r="G31" s="62"/>
      <c r="H31" s="62">
        <v>1178875.2</v>
      </c>
      <c r="I31" s="62"/>
      <c r="J31" s="62"/>
      <c r="K31" s="45">
        <f>H31</f>
        <v>1178875.2</v>
      </c>
      <c r="L31" s="33">
        <f>1406973.49+K31</f>
        <v>2585848.69</v>
      </c>
      <c r="M31" s="34">
        <f>E31-K31</f>
        <v>-342325.19999999995</v>
      </c>
      <c r="N31" s="63">
        <f>F31-L31</f>
        <v>23543.310000000056</v>
      </c>
      <c r="O31" s="64">
        <v>0</v>
      </c>
      <c r="P31" s="65">
        <v>0</v>
      </c>
      <c r="Q31" s="37"/>
      <c r="R31" s="37"/>
    </row>
    <row r="32" spans="1:18" ht="13.5" customHeight="1" thickBot="1">
      <c r="A32" s="60" t="s">
        <v>52</v>
      </c>
      <c r="B32" s="405" t="s">
        <v>53</v>
      </c>
      <c r="C32" s="406"/>
      <c r="D32" s="407"/>
      <c r="E32" s="187">
        <v>831487</v>
      </c>
      <c r="F32" s="31">
        <f>2161169+E32</f>
        <v>2992656</v>
      </c>
      <c r="G32" s="62">
        <v>644208.49</v>
      </c>
      <c r="H32" s="62"/>
      <c r="I32" s="62"/>
      <c r="J32" s="62"/>
      <c r="K32" s="33">
        <f>0+G32</f>
        <v>644208.49</v>
      </c>
      <c r="L32" s="33">
        <f>1851937.76+K32</f>
        <v>2496146.25</v>
      </c>
      <c r="M32" s="34">
        <f>E32-K32</f>
        <v>187278.51</v>
      </c>
      <c r="N32" s="63">
        <f>F32-L32</f>
        <v>496509.75</v>
      </c>
      <c r="O32" s="64">
        <v>0</v>
      </c>
      <c r="P32" s="65">
        <v>0</v>
      </c>
      <c r="Q32" s="37"/>
      <c r="R32" s="37"/>
    </row>
    <row r="33" spans="1:18" ht="15.75" thickBot="1">
      <c r="A33" s="60" t="s">
        <v>54</v>
      </c>
      <c r="B33" s="405" t="s">
        <v>55</v>
      </c>
      <c r="C33" s="406"/>
      <c r="D33" s="407"/>
      <c r="E33" s="66"/>
      <c r="F33" s="33"/>
      <c r="G33" s="62"/>
      <c r="H33" s="62"/>
      <c r="I33" s="62"/>
      <c r="J33" s="62"/>
      <c r="K33" s="45"/>
      <c r="L33" s="33"/>
      <c r="M33" s="67"/>
      <c r="N33" s="68"/>
      <c r="O33" s="64"/>
      <c r="P33" s="65"/>
      <c r="Q33" s="37"/>
      <c r="R33" s="37"/>
    </row>
    <row r="34" spans="1:18" ht="30.75" customHeight="1" thickBot="1">
      <c r="A34" s="69" t="s">
        <v>22</v>
      </c>
      <c r="B34" s="408" t="s">
        <v>56</v>
      </c>
      <c r="C34" s="409"/>
      <c r="D34" s="410"/>
      <c r="E34" s="53">
        <f>SUM(E35:E37)</f>
        <v>336943</v>
      </c>
      <c r="F34" s="53">
        <f>F35+F36+F37</f>
        <v>1131613</v>
      </c>
      <c r="G34" s="54">
        <f>G35+G36+G37</f>
        <v>88777.38</v>
      </c>
      <c r="H34" s="54">
        <f>H35</f>
        <v>75733</v>
      </c>
      <c r="I34" s="54"/>
      <c r="J34" s="54"/>
      <c r="K34" s="53">
        <f>G34+H34</f>
        <v>164510.38</v>
      </c>
      <c r="L34" s="55">
        <f>L35+L36</f>
        <v>809543.46</v>
      </c>
      <c r="M34" s="56">
        <f aca="true" t="shared" si="1" ref="M34:N36">E34-K34</f>
        <v>172432.62</v>
      </c>
      <c r="N34" s="70">
        <f t="shared" si="1"/>
        <v>322069.54000000004</v>
      </c>
      <c r="O34" s="58">
        <v>0</v>
      </c>
      <c r="P34" s="59">
        <v>0</v>
      </c>
      <c r="Q34" s="1"/>
      <c r="R34" s="1"/>
    </row>
    <row r="35" spans="1:18" ht="15.75" thickBot="1">
      <c r="A35" s="60" t="s">
        <v>57</v>
      </c>
      <c r="B35" s="411" t="s">
        <v>51</v>
      </c>
      <c r="C35" s="412"/>
      <c r="D35" s="413"/>
      <c r="E35" s="188">
        <v>168983</v>
      </c>
      <c r="F35" s="31">
        <f>358115+E35</f>
        <v>527098</v>
      </c>
      <c r="G35" s="62"/>
      <c r="H35" s="62">
        <v>75733</v>
      </c>
      <c r="I35" s="62"/>
      <c r="J35" s="62"/>
      <c r="K35" s="45">
        <f>H35</f>
        <v>75733</v>
      </c>
      <c r="L35" s="33">
        <f>284756.11+K35</f>
        <v>360489.11</v>
      </c>
      <c r="M35" s="34">
        <f t="shared" si="1"/>
        <v>93250</v>
      </c>
      <c r="N35" s="63">
        <f t="shared" si="1"/>
        <v>166608.89</v>
      </c>
      <c r="O35" s="64">
        <v>0</v>
      </c>
      <c r="P35" s="65">
        <v>0</v>
      </c>
      <c r="Q35" s="1"/>
      <c r="R35" s="71"/>
    </row>
    <row r="36" spans="1:18" ht="15.75" thickBot="1">
      <c r="A36" s="60" t="s">
        <v>58</v>
      </c>
      <c r="B36" s="405" t="s">
        <v>53</v>
      </c>
      <c r="C36" s="406"/>
      <c r="D36" s="407"/>
      <c r="E36" s="188">
        <v>167960</v>
      </c>
      <c r="F36" s="31">
        <f>436555+E36</f>
        <v>604515</v>
      </c>
      <c r="G36" s="62">
        <v>88777.38</v>
      </c>
      <c r="H36" s="62"/>
      <c r="I36" s="62"/>
      <c r="J36" s="62"/>
      <c r="K36" s="45">
        <f>G36</f>
        <v>88777.38</v>
      </c>
      <c r="L36" s="33">
        <f>360276.97+K36</f>
        <v>449054.35</v>
      </c>
      <c r="M36" s="34">
        <f>E36-K36</f>
        <v>79182.62</v>
      </c>
      <c r="N36" s="63">
        <f t="shared" si="1"/>
        <v>155460.65000000002</v>
      </c>
      <c r="O36" s="64">
        <v>0</v>
      </c>
      <c r="P36" s="65">
        <v>0</v>
      </c>
      <c r="Q36" s="1"/>
      <c r="R36" s="1"/>
    </row>
    <row r="37" spans="1:18" ht="15.75" thickBot="1">
      <c r="A37" s="60" t="s">
        <v>59</v>
      </c>
      <c r="B37" s="405" t="s">
        <v>55</v>
      </c>
      <c r="C37" s="406"/>
      <c r="D37" s="407"/>
      <c r="E37" s="45"/>
      <c r="F37" s="31"/>
      <c r="G37" s="62"/>
      <c r="H37" s="62"/>
      <c r="I37" s="62"/>
      <c r="J37" s="62"/>
      <c r="K37" s="45"/>
      <c r="L37" s="33"/>
      <c r="M37" s="67"/>
      <c r="N37" s="72"/>
      <c r="O37" s="64"/>
      <c r="P37" s="65"/>
      <c r="Q37" s="1"/>
      <c r="R37" s="1"/>
    </row>
    <row r="38" spans="1:18" ht="31.5" customHeight="1" thickBot="1">
      <c r="A38" s="51" t="s">
        <v>60</v>
      </c>
      <c r="B38" s="408" t="s">
        <v>61</v>
      </c>
      <c r="C38" s="409"/>
      <c r="D38" s="410"/>
      <c r="E38" s="53">
        <f>SUM(E41:E43)</f>
        <v>5065</v>
      </c>
      <c r="F38" s="73">
        <f>F41+F42+F43</f>
        <v>33390</v>
      </c>
      <c r="G38" s="54">
        <f>G40</f>
        <v>4692.530000000001</v>
      </c>
      <c r="H38" s="54"/>
      <c r="I38" s="54"/>
      <c r="J38" s="54"/>
      <c r="K38" s="55">
        <f>K39+K40</f>
        <v>4692.530000000001</v>
      </c>
      <c r="L38" s="55">
        <f>L40+L39</f>
        <v>31964.54</v>
      </c>
      <c r="M38" s="56">
        <f>E38-K38</f>
        <v>372.46999999999935</v>
      </c>
      <c r="N38" s="57">
        <f>F38-L38</f>
        <v>1425.4599999999991</v>
      </c>
      <c r="O38" s="58">
        <v>0</v>
      </c>
      <c r="P38" s="59">
        <v>0</v>
      </c>
      <c r="Q38" s="1"/>
      <c r="R38" s="1"/>
    </row>
    <row r="39" spans="1:18" ht="15.75" thickBot="1">
      <c r="A39" s="60" t="s">
        <v>62</v>
      </c>
      <c r="B39" s="411" t="s">
        <v>51</v>
      </c>
      <c r="C39" s="412"/>
      <c r="D39" s="413"/>
      <c r="E39" s="33"/>
      <c r="F39" s="31"/>
      <c r="G39" s="62"/>
      <c r="H39" s="62"/>
      <c r="I39" s="62"/>
      <c r="J39" s="62"/>
      <c r="K39" s="45"/>
      <c r="L39" s="33"/>
      <c r="M39" s="67"/>
      <c r="N39" s="72"/>
      <c r="O39" s="64"/>
      <c r="P39" s="65"/>
      <c r="Q39" s="1"/>
      <c r="R39" s="1"/>
    </row>
    <row r="40" spans="1:18" ht="15.75" thickBot="1">
      <c r="A40" s="60" t="s">
        <v>63</v>
      </c>
      <c r="B40" s="405" t="s">
        <v>53</v>
      </c>
      <c r="C40" s="406"/>
      <c r="D40" s="407"/>
      <c r="E40" s="45">
        <f>E41+E42+E43</f>
        <v>5065</v>
      </c>
      <c r="F40" s="31">
        <f>28325+E40</f>
        <v>33390</v>
      </c>
      <c r="G40" s="62">
        <f>G41+G42</f>
        <v>4692.530000000001</v>
      </c>
      <c r="H40" s="62"/>
      <c r="I40" s="62"/>
      <c r="J40" s="62"/>
      <c r="K40" s="33">
        <f>0+G40</f>
        <v>4692.530000000001</v>
      </c>
      <c r="L40" s="33">
        <f>L41+L42+L43</f>
        <v>31964.54</v>
      </c>
      <c r="M40" s="34">
        <f>E40-K40</f>
        <v>372.46999999999935</v>
      </c>
      <c r="N40" s="63">
        <f aca="true" t="shared" si="2" ref="M40:N55">F40-L40</f>
        <v>1425.4599999999991</v>
      </c>
      <c r="O40" s="64">
        <v>0</v>
      </c>
      <c r="P40" s="65">
        <v>0</v>
      </c>
      <c r="Q40" s="1"/>
      <c r="R40" s="1"/>
    </row>
    <row r="41" spans="1:18" ht="15.75" thickBot="1">
      <c r="A41" s="60" t="s">
        <v>64</v>
      </c>
      <c r="B41" s="414" t="s">
        <v>65</v>
      </c>
      <c r="C41" s="415"/>
      <c r="D41" s="416"/>
      <c r="E41" s="153">
        <v>2846</v>
      </c>
      <c r="F41" s="31">
        <f>14230+E41</f>
        <v>17076</v>
      </c>
      <c r="G41" s="62">
        <v>2473.53</v>
      </c>
      <c r="H41" s="62"/>
      <c r="I41" s="62"/>
      <c r="J41" s="62"/>
      <c r="K41" s="33">
        <f>0+G41</f>
        <v>2473.53</v>
      </c>
      <c r="L41" s="33">
        <f>14065.01+K41</f>
        <v>16538.54</v>
      </c>
      <c r="M41" s="34">
        <f t="shared" si="2"/>
        <v>372.4699999999998</v>
      </c>
      <c r="N41" s="63">
        <f t="shared" si="2"/>
        <v>537.4599999999991</v>
      </c>
      <c r="O41" s="64">
        <v>0</v>
      </c>
      <c r="P41" s="65">
        <v>0</v>
      </c>
      <c r="Q41" s="1"/>
      <c r="R41" s="1"/>
    </row>
    <row r="42" spans="1:18" ht="15.75" thickBot="1">
      <c r="A42" s="60" t="s">
        <v>66</v>
      </c>
      <c r="B42" s="414" t="s">
        <v>67</v>
      </c>
      <c r="C42" s="415"/>
      <c r="D42" s="416"/>
      <c r="E42" s="153">
        <v>2219</v>
      </c>
      <c r="F42" s="31">
        <f>11095+E42</f>
        <v>13314</v>
      </c>
      <c r="G42" s="62">
        <v>2219</v>
      </c>
      <c r="H42" s="62"/>
      <c r="I42" s="62"/>
      <c r="J42" s="62"/>
      <c r="K42" s="33">
        <f>0+G42</f>
        <v>2219</v>
      </c>
      <c r="L42" s="33">
        <f>11095+K42</f>
        <v>13314</v>
      </c>
      <c r="M42" s="34">
        <f t="shared" si="2"/>
        <v>0</v>
      </c>
      <c r="N42" s="63">
        <f t="shared" si="2"/>
        <v>0</v>
      </c>
      <c r="O42" s="64">
        <v>0</v>
      </c>
      <c r="P42" s="65">
        <v>0</v>
      </c>
      <c r="Q42" s="1"/>
      <c r="R42" s="1"/>
    </row>
    <row r="43" spans="1:18" ht="15.75" thickBot="1">
      <c r="A43" s="60" t="s">
        <v>68</v>
      </c>
      <c r="B43" s="414" t="s">
        <v>210</v>
      </c>
      <c r="C43" s="415"/>
      <c r="D43" s="416"/>
      <c r="E43" s="153"/>
      <c r="F43" s="31">
        <f>3000+E43</f>
        <v>3000</v>
      </c>
      <c r="G43" s="74"/>
      <c r="H43" s="74"/>
      <c r="I43" s="74"/>
      <c r="J43" s="62"/>
      <c r="K43" s="33">
        <f>0+J43</f>
        <v>0</v>
      </c>
      <c r="L43" s="33">
        <f>2112+K43</f>
        <v>2112</v>
      </c>
      <c r="M43" s="34">
        <f t="shared" si="2"/>
        <v>0</v>
      </c>
      <c r="N43" s="63">
        <f t="shared" si="2"/>
        <v>888</v>
      </c>
      <c r="O43" s="64">
        <v>0</v>
      </c>
      <c r="P43" s="65">
        <v>0</v>
      </c>
      <c r="Q43" s="1"/>
      <c r="R43" s="37"/>
    </row>
    <row r="44" spans="1:18" ht="30.75" customHeight="1" thickBot="1">
      <c r="A44" s="51" t="s">
        <v>69</v>
      </c>
      <c r="B44" s="408" t="s">
        <v>70</v>
      </c>
      <c r="C44" s="409"/>
      <c r="D44" s="410"/>
      <c r="E44" s="53">
        <f>SUM(E47:E49)</f>
        <v>110000</v>
      </c>
      <c r="F44" s="73">
        <f>F45+F46+F47</f>
        <v>1300200</v>
      </c>
      <c r="G44" s="55">
        <f>G45+G46+G47</f>
        <v>126213</v>
      </c>
      <c r="H44" s="75"/>
      <c r="I44" s="75"/>
      <c r="J44" s="54"/>
      <c r="K44" s="55">
        <f>K45+K46+K47</f>
        <v>126213</v>
      </c>
      <c r="L44" s="55">
        <f>L45+L46+L47</f>
        <v>1160169</v>
      </c>
      <c r="M44" s="56">
        <f t="shared" si="2"/>
        <v>-16213</v>
      </c>
      <c r="N44" s="158">
        <f t="shared" si="2"/>
        <v>140031</v>
      </c>
      <c r="O44" s="58">
        <v>0</v>
      </c>
      <c r="P44" s="59">
        <v>0</v>
      </c>
      <c r="Q44" s="1"/>
      <c r="R44" s="1"/>
    </row>
    <row r="45" spans="1:18" ht="15.75" thickBot="1">
      <c r="A45" s="60" t="s">
        <v>71</v>
      </c>
      <c r="B45" s="405" t="s">
        <v>53</v>
      </c>
      <c r="C45" s="406"/>
      <c r="D45" s="407"/>
      <c r="E45" s="155">
        <f>E48+E49</f>
        <v>110000</v>
      </c>
      <c r="F45" s="31">
        <f>F48+F49+F50</f>
        <v>1300200</v>
      </c>
      <c r="G45" s="33">
        <f>G48+G49</f>
        <v>126213</v>
      </c>
      <c r="H45" s="74"/>
      <c r="I45" s="74"/>
      <c r="J45" s="62"/>
      <c r="K45" s="33">
        <f>0+G45</f>
        <v>126213</v>
      </c>
      <c r="L45" s="33">
        <f>L48+L49</f>
        <v>1160169</v>
      </c>
      <c r="M45" s="34">
        <f>E45-K45</f>
        <v>-16213</v>
      </c>
      <c r="N45" s="35">
        <f t="shared" si="2"/>
        <v>140031</v>
      </c>
      <c r="O45" s="64">
        <v>0</v>
      </c>
      <c r="P45" s="65">
        <v>0</v>
      </c>
      <c r="Q45" s="1"/>
      <c r="R45" s="1"/>
    </row>
    <row r="46" spans="1:18" ht="15.75" thickBot="1">
      <c r="A46" s="60" t="s">
        <v>72</v>
      </c>
      <c r="B46" s="411" t="s">
        <v>51</v>
      </c>
      <c r="C46" s="412"/>
      <c r="D46" s="413"/>
      <c r="E46" s="76"/>
      <c r="F46" s="31"/>
      <c r="G46" s="33"/>
      <c r="H46" s="74"/>
      <c r="I46" s="74"/>
      <c r="J46" s="62"/>
      <c r="K46" s="33">
        <f aca="true" t="shared" si="3" ref="K46:K53">0+G46</f>
        <v>0</v>
      </c>
      <c r="L46" s="33">
        <f>0+K46</f>
        <v>0</v>
      </c>
      <c r="M46" s="34">
        <f t="shared" si="2"/>
        <v>0</v>
      </c>
      <c r="N46" s="63">
        <f t="shared" si="2"/>
        <v>0</v>
      </c>
      <c r="O46" s="64">
        <v>0</v>
      </c>
      <c r="P46" s="65">
        <v>0</v>
      </c>
      <c r="Q46" s="1"/>
      <c r="R46" s="1"/>
    </row>
    <row r="47" spans="1:18" ht="15.75" thickBot="1">
      <c r="A47" s="60" t="s">
        <v>73</v>
      </c>
      <c r="B47" s="77" t="s">
        <v>55</v>
      </c>
      <c r="C47" s="78"/>
      <c r="D47" s="78"/>
      <c r="E47" s="79"/>
      <c r="F47" s="31"/>
      <c r="G47" s="33"/>
      <c r="H47" s="74"/>
      <c r="I47" s="74"/>
      <c r="J47" s="62"/>
      <c r="K47" s="33">
        <f t="shared" si="3"/>
        <v>0</v>
      </c>
      <c r="L47" s="33">
        <f>0+K47</f>
        <v>0</v>
      </c>
      <c r="M47" s="34">
        <f t="shared" si="2"/>
        <v>0</v>
      </c>
      <c r="N47" s="63">
        <f t="shared" si="2"/>
        <v>0</v>
      </c>
      <c r="O47" s="64">
        <v>0</v>
      </c>
      <c r="P47" s="65">
        <v>0</v>
      </c>
      <c r="Q47" s="1"/>
      <c r="R47" s="80"/>
    </row>
    <row r="48" spans="1:18" ht="15.75" thickBot="1">
      <c r="A48" s="60" t="s">
        <v>74</v>
      </c>
      <c r="B48" s="420" t="s">
        <v>75</v>
      </c>
      <c r="C48" s="421"/>
      <c r="D48" s="422"/>
      <c r="E48" s="156">
        <v>110000</v>
      </c>
      <c r="F48" s="31">
        <f>1165000+E48</f>
        <v>1275000</v>
      </c>
      <c r="G48" s="74">
        <v>126213</v>
      </c>
      <c r="H48" s="74"/>
      <c r="I48" s="74"/>
      <c r="J48" s="62"/>
      <c r="K48" s="33">
        <f>0+G48</f>
        <v>126213</v>
      </c>
      <c r="L48" s="33">
        <f>1028869+K48</f>
        <v>1155082</v>
      </c>
      <c r="M48" s="34">
        <f>E48-K48</f>
        <v>-16213</v>
      </c>
      <c r="N48" s="63">
        <f t="shared" si="2"/>
        <v>119918</v>
      </c>
      <c r="O48" s="64">
        <v>0</v>
      </c>
      <c r="P48" s="65">
        <v>0</v>
      </c>
      <c r="Q48" s="1"/>
      <c r="R48" s="37"/>
    </row>
    <row r="49" spans="1:18" ht="15.75" thickBot="1">
      <c r="A49" s="60" t="s">
        <v>76</v>
      </c>
      <c r="B49" s="420" t="s">
        <v>77</v>
      </c>
      <c r="C49" s="421"/>
      <c r="D49" s="422"/>
      <c r="E49" s="156"/>
      <c r="F49" s="31">
        <f>25200+E49</f>
        <v>25200</v>
      </c>
      <c r="G49" s="74"/>
      <c r="H49" s="74"/>
      <c r="I49" s="74"/>
      <c r="J49" s="62"/>
      <c r="K49" s="33">
        <f t="shared" si="3"/>
        <v>0</v>
      </c>
      <c r="L49" s="33">
        <f>5087+K49</f>
        <v>5087</v>
      </c>
      <c r="M49" s="34">
        <f t="shared" si="2"/>
        <v>0</v>
      </c>
      <c r="N49" s="63">
        <f t="shared" si="2"/>
        <v>20113</v>
      </c>
      <c r="O49" s="64">
        <v>0</v>
      </c>
      <c r="P49" s="65">
        <v>0</v>
      </c>
      <c r="Q49" s="1"/>
      <c r="R49" s="1"/>
    </row>
    <row r="50" spans="1:18" ht="15.75" thickBot="1">
      <c r="A50" s="60" t="s">
        <v>78</v>
      </c>
      <c r="B50" s="420" t="s">
        <v>79</v>
      </c>
      <c r="C50" s="421"/>
      <c r="D50" s="422"/>
      <c r="E50" s="74"/>
      <c r="F50" s="31">
        <f>0+E50</f>
        <v>0</v>
      </c>
      <c r="G50" s="74"/>
      <c r="H50" s="74"/>
      <c r="I50" s="74"/>
      <c r="J50" s="62"/>
      <c r="K50" s="33">
        <f t="shared" si="3"/>
        <v>0</v>
      </c>
      <c r="L50" s="33">
        <f aca="true" t="shared" si="4" ref="L50:L57">0+K50</f>
        <v>0</v>
      </c>
      <c r="M50" s="34">
        <f t="shared" si="2"/>
        <v>0</v>
      </c>
      <c r="N50" s="63">
        <f t="shared" si="2"/>
        <v>0</v>
      </c>
      <c r="O50" s="64">
        <v>0</v>
      </c>
      <c r="P50" s="65">
        <v>0</v>
      </c>
      <c r="Q50" s="1"/>
      <c r="R50" s="1"/>
    </row>
    <row r="51" spans="1:18" ht="44.25" customHeight="1" thickBot="1">
      <c r="A51" s="51" t="s">
        <v>80</v>
      </c>
      <c r="B51" s="423" t="s">
        <v>81</v>
      </c>
      <c r="C51" s="424"/>
      <c r="D51" s="425"/>
      <c r="E51" s="55">
        <v>0</v>
      </c>
      <c r="F51" s="55">
        <v>0</v>
      </c>
      <c r="G51" s="55"/>
      <c r="H51" s="55"/>
      <c r="I51" s="55"/>
      <c r="J51" s="54"/>
      <c r="K51" s="55">
        <f t="shared" si="3"/>
        <v>0</v>
      </c>
      <c r="L51" s="55">
        <f t="shared" si="4"/>
        <v>0</v>
      </c>
      <c r="M51" s="56">
        <f t="shared" si="2"/>
        <v>0</v>
      </c>
      <c r="N51" s="57">
        <f t="shared" si="2"/>
        <v>0</v>
      </c>
      <c r="O51" s="58">
        <v>0</v>
      </c>
      <c r="P51" s="59">
        <v>0</v>
      </c>
      <c r="Q51" s="1"/>
      <c r="R51" s="1"/>
    </row>
    <row r="52" spans="1:18" ht="27" customHeight="1" thickBot="1">
      <c r="A52" s="60" t="s">
        <v>82</v>
      </c>
      <c r="B52" s="405" t="s">
        <v>53</v>
      </c>
      <c r="C52" s="406"/>
      <c r="D52" s="407"/>
      <c r="E52" s="33"/>
      <c r="F52" s="33"/>
      <c r="G52" s="33"/>
      <c r="H52" s="33"/>
      <c r="I52" s="33"/>
      <c r="J52" s="62"/>
      <c r="K52" s="33">
        <f t="shared" si="3"/>
        <v>0</v>
      </c>
      <c r="L52" s="33">
        <f t="shared" si="4"/>
        <v>0</v>
      </c>
      <c r="M52" s="34">
        <f t="shared" si="2"/>
        <v>0</v>
      </c>
      <c r="N52" s="63">
        <f t="shared" si="2"/>
        <v>0</v>
      </c>
      <c r="O52" s="64">
        <v>0</v>
      </c>
      <c r="P52" s="65">
        <v>0</v>
      </c>
      <c r="Q52" s="1"/>
      <c r="R52" s="1"/>
    </row>
    <row r="53" spans="1:18" ht="19.5" customHeight="1" thickBot="1">
      <c r="A53" s="60" t="s">
        <v>83</v>
      </c>
      <c r="B53" s="457" t="s">
        <v>55</v>
      </c>
      <c r="C53" s="458"/>
      <c r="D53" s="459"/>
      <c r="E53" s="33"/>
      <c r="F53" s="33"/>
      <c r="G53" s="33"/>
      <c r="H53" s="33"/>
      <c r="I53" s="33"/>
      <c r="J53" s="62"/>
      <c r="K53" s="33">
        <f t="shared" si="3"/>
        <v>0</v>
      </c>
      <c r="L53" s="33">
        <f t="shared" si="4"/>
        <v>0</v>
      </c>
      <c r="M53" s="34">
        <f t="shared" si="2"/>
        <v>0</v>
      </c>
      <c r="N53" s="63">
        <f t="shared" si="2"/>
        <v>0</v>
      </c>
      <c r="O53" s="64">
        <v>0</v>
      </c>
      <c r="P53" s="65">
        <v>0</v>
      </c>
      <c r="Q53" s="1"/>
      <c r="R53" s="1"/>
    </row>
    <row r="54" spans="1:18" ht="48" customHeight="1" thickBot="1">
      <c r="A54" s="51" t="s">
        <v>84</v>
      </c>
      <c r="B54" s="408" t="s">
        <v>85</v>
      </c>
      <c r="C54" s="409"/>
      <c r="D54" s="410"/>
      <c r="E54" s="53">
        <f>SUM(E59:E63)</f>
        <v>50200</v>
      </c>
      <c r="F54" s="73">
        <f>F55+F58</f>
        <v>1339500</v>
      </c>
      <c r="G54" s="55">
        <f>G55+G56+G57+G58</f>
        <v>0</v>
      </c>
      <c r="H54" s="55"/>
      <c r="I54" s="55"/>
      <c r="J54" s="55">
        <f>J55+J56+J57+J58</f>
        <v>0</v>
      </c>
      <c r="K54" s="55">
        <f>K55+K56+K57</f>
        <v>0</v>
      </c>
      <c r="L54" s="55">
        <f>L55+L56+L57+L58</f>
        <v>1414260.61</v>
      </c>
      <c r="M54" s="56">
        <f t="shared" si="2"/>
        <v>50200</v>
      </c>
      <c r="N54" s="70">
        <f t="shared" si="2"/>
        <v>-74760.6100000001</v>
      </c>
      <c r="O54" s="58">
        <v>0</v>
      </c>
      <c r="P54" s="59">
        <v>0</v>
      </c>
      <c r="Q54" s="1"/>
      <c r="R54" s="37"/>
    </row>
    <row r="55" spans="1:18" ht="13.5" customHeight="1" thickBot="1">
      <c r="A55" s="60" t="s">
        <v>86</v>
      </c>
      <c r="B55" s="405" t="s">
        <v>53</v>
      </c>
      <c r="C55" s="406"/>
      <c r="D55" s="407"/>
      <c r="E55" s="81">
        <f>E59+E60+E62+E63-E58</f>
        <v>45200</v>
      </c>
      <c r="F55" s="31">
        <f>1245100+E55</f>
        <v>1290300</v>
      </c>
      <c r="G55" s="33">
        <f>G60+G62+G63+G59</f>
        <v>0</v>
      </c>
      <c r="H55" s="33"/>
      <c r="I55" s="33"/>
      <c r="J55" s="33"/>
      <c r="K55" s="33">
        <f>0+G55</f>
        <v>0</v>
      </c>
      <c r="L55" s="33">
        <f>1407861.86+K55</f>
        <v>1407861.86</v>
      </c>
      <c r="M55" s="34">
        <f t="shared" si="2"/>
        <v>45200</v>
      </c>
      <c r="N55" s="63">
        <f t="shared" si="2"/>
        <v>-117561.8600000001</v>
      </c>
      <c r="O55" s="64">
        <v>0</v>
      </c>
      <c r="P55" s="65">
        <v>0</v>
      </c>
      <c r="Q55" s="1"/>
      <c r="R55" s="37"/>
    </row>
    <row r="56" spans="1:18" ht="15.75" thickBot="1">
      <c r="A56" s="60" t="s">
        <v>87</v>
      </c>
      <c r="B56" s="411" t="s">
        <v>88</v>
      </c>
      <c r="C56" s="412"/>
      <c r="D56" s="413"/>
      <c r="E56" s="61"/>
      <c r="F56" s="31"/>
      <c r="G56" s="33"/>
      <c r="H56" s="33"/>
      <c r="I56" s="33"/>
      <c r="J56" s="33"/>
      <c r="K56" s="33">
        <f aca="true" t="shared" si="5" ref="K56:K61">0+G56</f>
        <v>0</v>
      </c>
      <c r="L56" s="33">
        <f t="shared" si="4"/>
        <v>0</v>
      </c>
      <c r="M56" s="34">
        <f aca="true" t="shared" si="6" ref="M56:N71">E56-K56</f>
        <v>0</v>
      </c>
      <c r="N56" s="63">
        <f t="shared" si="6"/>
        <v>0</v>
      </c>
      <c r="O56" s="64">
        <v>0</v>
      </c>
      <c r="P56" s="65">
        <v>0</v>
      </c>
      <c r="Q56" s="1"/>
      <c r="R56" s="37"/>
    </row>
    <row r="57" spans="1:18" ht="18" customHeight="1" thickBot="1">
      <c r="A57" s="60" t="s">
        <v>89</v>
      </c>
      <c r="B57" s="435" t="s">
        <v>55</v>
      </c>
      <c r="C57" s="436"/>
      <c r="D57" s="436"/>
      <c r="E57" s="82"/>
      <c r="F57" s="31"/>
      <c r="G57" s="33"/>
      <c r="H57" s="33"/>
      <c r="I57" s="33"/>
      <c r="J57" s="33"/>
      <c r="K57" s="33">
        <f t="shared" si="5"/>
        <v>0</v>
      </c>
      <c r="L57" s="33">
        <f t="shared" si="4"/>
        <v>0</v>
      </c>
      <c r="M57" s="34">
        <f t="shared" si="6"/>
        <v>0</v>
      </c>
      <c r="N57" s="63">
        <f t="shared" si="6"/>
        <v>0</v>
      </c>
      <c r="O57" s="64">
        <v>0</v>
      </c>
      <c r="P57" s="65">
        <v>0</v>
      </c>
      <c r="Q57" s="1"/>
      <c r="R57" s="37"/>
    </row>
    <row r="58" spans="1:18" ht="29.25" customHeight="1" thickBot="1">
      <c r="A58" s="60" t="s">
        <v>90</v>
      </c>
      <c r="B58" s="383" t="s">
        <v>40</v>
      </c>
      <c r="C58" s="384"/>
      <c r="D58" s="385"/>
      <c r="E58" s="155">
        <v>5000</v>
      </c>
      <c r="F58" s="31">
        <f>44200+E58</f>
        <v>49200</v>
      </c>
      <c r="G58" s="33"/>
      <c r="H58" s="33"/>
      <c r="I58" s="33"/>
      <c r="J58" s="33">
        <f>J62+J63+J59</f>
        <v>0</v>
      </c>
      <c r="K58" s="33">
        <f>0+J58</f>
        <v>0</v>
      </c>
      <c r="L58" s="33">
        <f>6398.75+K58</f>
        <v>6398.75</v>
      </c>
      <c r="M58" s="34">
        <f t="shared" si="6"/>
        <v>5000</v>
      </c>
      <c r="N58" s="63">
        <f t="shared" si="6"/>
        <v>42801.25</v>
      </c>
      <c r="O58" s="64">
        <v>0</v>
      </c>
      <c r="P58" s="65">
        <v>0</v>
      </c>
      <c r="Q58" s="1"/>
      <c r="R58" s="37"/>
    </row>
    <row r="59" spans="1:18" ht="26.25" customHeight="1" thickBot="1">
      <c r="A59" s="60" t="s">
        <v>91</v>
      </c>
      <c r="B59" s="437" t="s">
        <v>92</v>
      </c>
      <c r="C59" s="438"/>
      <c r="D59" s="439"/>
      <c r="E59" s="156">
        <v>40000</v>
      </c>
      <c r="F59" s="31">
        <f>370000+E59</f>
        <v>410000</v>
      </c>
      <c r="G59" s="74"/>
      <c r="H59" s="74"/>
      <c r="I59" s="74"/>
      <c r="J59" s="33"/>
      <c r="K59" s="33">
        <f>J59+G59</f>
        <v>0</v>
      </c>
      <c r="L59" s="33">
        <f>379073.58+K59</f>
        <v>379073.58</v>
      </c>
      <c r="M59" s="34">
        <f t="shared" si="6"/>
        <v>40000</v>
      </c>
      <c r="N59" s="35">
        <f t="shared" si="6"/>
        <v>30926.419999999984</v>
      </c>
      <c r="O59" s="64">
        <v>0</v>
      </c>
      <c r="P59" s="65">
        <v>0</v>
      </c>
      <c r="Q59" s="1"/>
      <c r="R59" s="80"/>
    </row>
    <row r="60" spans="1:18" ht="19.5" customHeight="1" thickBot="1">
      <c r="A60" s="60" t="s">
        <v>93</v>
      </c>
      <c r="B60" s="426" t="s">
        <v>94</v>
      </c>
      <c r="C60" s="427"/>
      <c r="D60" s="427"/>
      <c r="E60" s="152"/>
      <c r="F60" s="31">
        <f>870000+E60</f>
        <v>870000</v>
      </c>
      <c r="G60" s="74"/>
      <c r="H60" s="74"/>
      <c r="I60" s="74"/>
      <c r="J60" s="33"/>
      <c r="K60" s="33">
        <f>0+G60</f>
        <v>0</v>
      </c>
      <c r="L60" s="33">
        <f>986172.22+K60</f>
        <v>986172.22</v>
      </c>
      <c r="M60" s="34">
        <f t="shared" si="6"/>
        <v>0</v>
      </c>
      <c r="N60" s="63">
        <f t="shared" si="6"/>
        <v>-116172.21999999997</v>
      </c>
      <c r="O60" s="64">
        <v>0</v>
      </c>
      <c r="P60" s="65">
        <v>0</v>
      </c>
      <c r="Q60" s="1"/>
      <c r="R60" s="37"/>
    </row>
    <row r="61" spans="1:18" ht="15.75" customHeight="1" thickBot="1">
      <c r="A61" s="60" t="s">
        <v>93</v>
      </c>
      <c r="B61" s="440" t="s">
        <v>95</v>
      </c>
      <c r="C61" s="441"/>
      <c r="D61" s="442"/>
      <c r="E61" s="152"/>
      <c r="F61" s="31"/>
      <c r="G61" s="74"/>
      <c r="H61" s="74"/>
      <c r="I61" s="74"/>
      <c r="J61" s="33"/>
      <c r="K61" s="33">
        <f t="shared" si="5"/>
        <v>0</v>
      </c>
      <c r="L61" s="33">
        <f>0+K61</f>
        <v>0</v>
      </c>
      <c r="M61" s="34">
        <f t="shared" si="6"/>
        <v>0</v>
      </c>
      <c r="N61" s="63">
        <f t="shared" si="6"/>
        <v>0</v>
      </c>
      <c r="O61" s="64">
        <v>0</v>
      </c>
      <c r="P61" s="65">
        <v>0</v>
      </c>
      <c r="Q61" s="1"/>
      <c r="R61" s="1"/>
    </row>
    <row r="62" spans="1:18" ht="19.5" customHeight="1" thickBot="1">
      <c r="A62" s="60" t="s">
        <v>96</v>
      </c>
      <c r="B62" s="426" t="s">
        <v>97</v>
      </c>
      <c r="C62" s="427"/>
      <c r="D62" s="428"/>
      <c r="E62" s="152">
        <v>5400</v>
      </c>
      <c r="F62" s="31">
        <f>26100+E62</f>
        <v>31500</v>
      </c>
      <c r="G62" s="83"/>
      <c r="H62" s="84"/>
      <c r="I62" s="74"/>
      <c r="J62" s="74"/>
      <c r="K62" s="33">
        <f>0+J62+G62</f>
        <v>0</v>
      </c>
      <c r="L62" s="33">
        <f>26175.28+K62</f>
        <v>26175.28</v>
      </c>
      <c r="M62" s="34">
        <f t="shared" si="6"/>
        <v>5400</v>
      </c>
      <c r="N62" s="63">
        <f t="shared" si="6"/>
        <v>5324.720000000001</v>
      </c>
      <c r="O62" s="64">
        <v>0</v>
      </c>
      <c r="P62" s="65">
        <v>0</v>
      </c>
      <c r="Q62" s="1"/>
      <c r="R62" s="1"/>
    </row>
    <row r="63" spans="1:18" ht="27" customHeight="1" thickBot="1">
      <c r="A63" s="60" t="s">
        <v>98</v>
      </c>
      <c r="B63" s="426" t="s">
        <v>99</v>
      </c>
      <c r="C63" s="427"/>
      <c r="D63" s="428"/>
      <c r="E63" s="152">
        <v>4800</v>
      </c>
      <c r="F63" s="31">
        <f>23200+E63</f>
        <v>28000</v>
      </c>
      <c r="G63" s="85"/>
      <c r="H63" s="74"/>
      <c r="I63" s="74"/>
      <c r="J63" s="74"/>
      <c r="K63" s="33">
        <f>0+J63+G63</f>
        <v>0</v>
      </c>
      <c r="L63" s="33">
        <f>22839.53+K63</f>
        <v>22839.53</v>
      </c>
      <c r="M63" s="34">
        <f t="shared" si="6"/>
        <v>4800</v>
      </c>
      <c r="N63" s="63">
        <f t="shared" si="6"/>
        <v>5160.470000000001</v>
      </c>
      <c r="O63" s="64">
        <v>0</v>
      </c>
      <c r="P63" s="65">
        <v>0</v>
      </c>
      <c r="Q63" s="1"/>
      <c r="R63" s="1"/>
    </row>
    <row r="64" spans="1:18" ht="35.25" customHeight="1" thickBot="1">
      <c r="A64" s="86" t="s">
        <v>100</v>
      </c>
      <c r="B64" s="429" t="s">
        <v>101</v>
      </c>
      <c r="C64" s="430"/>
      <c r="D64" s="431"/>
      <c r="E64" s="53">
        <f>E65</f>
        <v>151000</v>
      </c>
      <c r="F64" s="73">
        <f>F65+F66</f>
        <v>342500</v>
      </c>
      <c r="G64" s="75">
        <f>G65+G66</f>
        <v>8600</v>
      </c>
      <c r="H64" s="55"/>
      <c r="I64" s="55">
        <f>I66</f>
        <v>0</v>
      </c>
      <c r="J64" s="55">
        <f>J65+J66</f>
        <v>0</v>
      </c>
      <c r="K64" s="55">
        <f>K65+K66</f>
        <v>8600</v>
      </c>
      <c r="L64" s="55">
        <f>L65+L66</f>
        <v>57613</v>
      </c>
      <c r="M64" s="56">
        <f t="shared" si="6"/>
        <v>142400</v>
      </c>
      <c r="N64" s="70">
        <f t="shared" si="6"/>
        <v>284887</v>
      </c>
      <c r="O64" s="58">
        <v>0</v>
      </c>
      <c r="P64" s="59">
        <v>0</v>
      </c>
      <c r="Q64" s="1"/>
      <c r="R64" s="1"/>
    </row>
    <row r="65" spans="1:18" ht="19.5" customHeight="1" thickBot="1">
      <c r="A65" s="60" t="s">
        <v>102</v>
      </c>
      <c r="B65" s="457" t="s">
        <v>53</v>
      </c>
      <c r="C65" s="458"/>
      <c r="D65" s="459"/>
      <c r="E65" s="45">
        <v>151000</v>
      </c>
      <c r="F65" s="31">
        <f>191500+E65</f>
        <v>342500</v>
      </c>
      <c r="G65" s="74">
        <v>8600</v>
      </c>
      <c r="H65" s="33"/>
      <c r="I65" s="33"/>
      <c r="J65" s="33"/>
      <c r="K65" s="33">
        <f>0+G65</f>
        <v>8600</v>
      </c>
      <c r="L65" s="33">
        <f>49013+K65</f>
        <v>57613</v>
      </c>
      <c r="M65" s="34">
        <f t="shared" si="6"/>
        <v>142400</v>
      </c>
      <c r="N65" s="35">
        <f t="shared" si="6"/>
        <v>284887</v>
      </c>
      <c r="O65" s="64">
        <v>0</v>
      </c>
      <c r="P65" s="65">
        <v>0</v>
      </c>
      <c r="Q65" s="1"/>
      <c r="R65" s="1"/>
    </row>
    <row r="66" spans="1:18" ht="19.5" customHeight="1" thickBot="1">
      <c r="A66" s="60" t="s">
        <v>103</v>
      </c>
      <c r="B66" s="435" t="s">
        <v>104</v>
      </c>
      <c r="C66" s="436"/>
      <c r="D66" s="490"/>
      <c r="E66" s="45"/>
      <c r="F66" s="31"/>
      <c r="G66" s="74"/>
      <c r="H66" s="33"/>
      <c r="I66" s="33"/>
      <c r="J66" s="33"/>
      <c r="K66" s="33">
        <f>0+I66</f>
        <v>0</v>
      </c>
      <c r="L66" s="33">
        <f>0+K66</f>
        <v>0</v>
      </c>
      <c r="M66" s="34">
        <f t="shared" si="6"/>
        <v>0</v>
      </c>
      <c r="N66" s="35">
        <f t="shared" si="6"/>
        <v>0</v>
      </c>
      <c r="O66" s="64">
        <v>0</v>
      </c>
      <c r="P66" s="65">
        <v>0</v>
      </c>
      <c r="Q66" s="1"/>
      <c r="R66" s="1"/>
    </row>
    <row r="67" spans="1:18" ht="37.5" customHeight="1" thickBot="1">
      <c r="A67" s="69" t="s">
        <v>105</v>
      </c>
      <c r="B67" s="432" t="s">
        <v>215</v>
      </c>
      <c r="C67" s="433"/>
      <c r="D67" s="434"/>
      <c r="E67" s="53">
        <f>E68</f>
        <v>0</v>
      </c>
      <c r="F67" s="73">
        <f>F68+F69+F70</f>
        <v>665000</v>
      </c>
      <c r="G67" s="75">
        <f>G68+G69</f>
        <v>0</v>
      </c>
      <c r="H67" s="55"/>
      <c r="I67" s="55"/>
      <c r="J67" s="55"/>
      <c r="K67" s="55">
        <f>K68+K69+K70</f>
        <v>0</v>
      </c>
      <c r="L67" s="55">
        <f>0+K67</f>
        <v>0</v>
      </c>
      <c r="M67" s="56">
        <f t="shared" si="6"/>
        <v>0</v>
      </c>
      <c r="N67" s="70">
        <f t="shared" si="6"/>
        <v>665000</v>
      </c>
      <c r="O67" s="58">
        <v>0</v>
      </c>
      <c r="P67" s="59">
        <v>0</v>
      </c>
      <c r="Q67" s="1"/>
      <c r="R67" s="37"/>
    </row>
    <row r="68" spans="1:18" ht="15.75" thickBot="1">
      <c r="A68" s="60" t="s">
        <v>107</v>
      </c>
      <c r="B68" s="446" t="s">
        <v>53</v>
      </c>
      <c r="C68" s="447"/>
      <c r="D68" s="448"/>
      <c r="E68" s="61"/>
      <c r="F68" s="31">
        <f>665000+E68</f>
        <v>665000</v>
      </c>
      <c r="G68" s="74"/>
      <c r="H68" s="33"/>
      <c r="I68" s="33"/>
      <c r="J68" s="33"/>
      <c r="K68" s="33">
        <f>G68</f>
        <v>0</v>
      </c>
      <c r="L68" s="33">
        <f>0+K68</f>
        <v>0</v>
      </c>
      <c r="M68" s="34">
        <f>E68-K68</f>
        <v>0</v>
      </c>
      <c r="N68" s="35">
        <f t="shared" si="6"/>
        <v>665000</v>
      </c>
      <c r="O68" s="64">
        <v>0</v>
      </c>
      <c r="P68" s="65">
        <v>0</v>
      </c>
      <c r="Q68" s="1"/>
      <c r="R68" s="37"/>
    </row>
    <row r="69" spans="1:18" ht="15.75" thickBot="1">
      <c r="A69" s="60" t="s">
        <v>108</v>
      </c>
      <c r="B69" s="435" t="s">
        <v>104</v>
      </c>
      <c r="C69" s="436"/>
      <c r="D69" s="490"/>
      <c r="E69" s="61"/>
      <c r="F69" s="31"/>
      <c r="G69" s="74"/>
      <c r="H69" s="33"/>
      <c r="I69" s="33"/>
      <c r="J69" s="33"/>
      <c r="K69" s="33">
        <f>G69</f>
        <v>0</v>
      </c>
      <c r="L69" s="33">
        <f>0+K69</f>
        <v>0</v>
      </c>
      <c r="M69" s="34">
        <f t="shared" si="6"/>
        <v>0</v>
      </c>
      <c r="N69" s="35">
        <f t="shared" si="6"/>
        <v>0</v>
      </c>
      <c r="O69" s="64">
        <v>0</v>
      </c>
      <c r="P69" s="65">
        <v>0</v>
      </c>
      <c r="Q69" s="1"/>
      <c r="R69" s="37"/>
    </row>
    <row r="70" spans="1:18" ht="15.75" thickBot="1">
      <c r="A70" s="60" t="s">
        <v>109</v>
      </c>
      <c r="B70" s="446" t="s">
        <v>55</v>
      </c>
      <c r="C70" s="447"/>
      <c r="D70" s="448"/>
      <c r="E70" s="81"/>
      <c r="F70" s="31"/>
      <c r="G70" s="74"/>
      <c r="H70" s="33"/>
      <c r="I70" s="33"/>
      <c r="J70" s="33"/>
      <c r="K70" s="33">
        <f>0+J70</f>
        <v>0</v>
      </c>
      <c r="L70" s="33">
        <f>0+K70</f>
        <v>0</v>
      </c>
      <c r="M70" s="34">
        <f t="shared" si="6"/>
        <v>0</v>
      </c>
      <c r="N70" s="35">
        <f t="shared" si="6"/>
        <v>0</v>
      </c>
      <c r="O70" s="64">
        <v>0</v>
      </c>
      <c r="P70" s="65">
        <v>0</v>
      </c>
      <c r="Q70" s="1"/>
      <c r="R70" s="37"/>
    </row>
    <row r="71" spans="1:18" ht="27" customHeight="1" thickBot="1">
      <c r="A71" s="87" t="s">
        <v>110</v>
      </c>
      <c r="B71" s="443" t="s">
        <v>111</v>
      </c>
      <c r="C71" s="444"/>
      <c r="D71" s="445"/>
      <c r="E71" s="53">
        <f>E72+E73</f>
        <v>3000</v>
      </c>
      <c r="F71" s="73">
        <f>F72</f>
        <v>19500</v>
      </c>
      <c r="G71" s="75">
        <f>G72+G73</f>
        <v>5621</v>
      </c>
      <c r="H71" s="55"/>
      <c r="I71" s="55"/>
      <c r="J71" s="55"/>
      <c r="K71" s="55">
        <f>G71</f>
        <v>5621</v>
      </c>
      <c r="L71" s="55">
        <f>L72</f>
        <v>21186</v>
      </c>
      <c r="M71" s="56">
        <f t="shared" si="6"/>
        <v>-2621</v>
      </c>
      <c r="N71" s="70">
        <f t="shared" si="6"/>
        <v>-1686</v>
      </c>
      <c r="O71" s="58">
        <v>0</v>
      </c>
      <c r="P71" s="59">
        <v>0</v>
      </c>
      <c r="Q71" s="1"/>
      <c r="R71" s="1"/>
    </row>
    <row r="72" spans="1:18" ht="15.75" thickBot="1">
      <c r="A72" s="60" t="s">
        <v>107</v>
      </c>
      <c r="B72" s="405" t="s">
        <v>53</v>
      </c>
      <c r="C72" s="406"/>
      <c r="D72" s="407"/>
      <c r="E72" s="61">
        <v>3000</v>
      </c>
      <c r="F72" s="31">
        <f>16500+E72</f>
        <v>19500</v>
      </c>
      <c r="G72" s="74">
        <v>5621</v>
      </c>
      <c r="H72" s="33"/>
      <c r="I72" s="33"/>
      <c r="J72" s="33"/>
      <c r="K72" s="33">
        <f>G72</f>
        <v>5621</v>
      </c>
      <c r="L72" s="33">
        <f>15565+K72</f>
        <v>21186</v>
      </c>
      <c r="M72" s="34">
        <f aca="true" t="shared" si="7" ref="M72:N82">E72-K72</f>
        <v>-2621</v>
      </c>
      <c r="N72" s="35">
        <f t="shared" si="7"/>
        <v>-1686</v>
      </c>
      <c r="O72" s="64">
        <v>0</v>
      </c>
      <c r="P72" s="65">
        <v>0</v>
      </c>
      <c r="Q72" s="1"/>
      <c r="R72" s="1"/>
    </row>
    <row r="73" spans="1:18" ht="15.75" thickBot="1">
      <c r="A73" s="60" t="s">
        <v>109</v>
      </c>
      <c r="B73" s="405" t="s">
        <v>55</v>
      </c>
      <c r="C73" s="406"/>
      <c r="D73" s="407"/>
      <c r="E73" s="81"/>
      <c r="F73" s="31"/>
      <c r="G73" s="74"/>
      <c r="H73" s="33"/>
      <c r="I73" s="33"/>
      <c r="J73" s="33"/>
      <c r="K73" s="33">
        <f>0+J73</f>
        <v>0</v>
      </c>
      <c r="L73" s="33">
        <f>0+K73</f>
        <v>0</v>
      </c>
      <c r="M73" s="34">
        <f t="shared" si="7"/>
        <v>0</v>
      </c>
      <c r="N73" s="35">
        <f t="shared" si="7"/>
        <v>0</v>
      </c>
      <c r="O73" s="64">
        <v>0</v>
      </c>
      <c r="P73" s="65">
        <v>0</v>
      </c>
      <c r="Q73" s="1"/>
      <c r="R73" s="1"/>
    </row>
    <row r="74" spans="1:18" ht="43.5" customHeight="1" thickBot="1">
      <c r="A74" s="87" t="s">
        <v>112</v>
      </c>
      <c r="B74" s="443" t="s">
        <v>113</v>
      </c>
      <c r="C74" s="444"/>
      <c r="D74" s="445"/>
      <c r="E74" s="53">
        <f>E75</f>
        <v>10000</v>
      </c>
      <c r="F74" s="73">
        <f>F75+F76</f>
        <v>212000</v>
      </c>
      <c r="G74" s="75">
        <f>G75+G76+G77</f>
        <v>4253.5</v>
      </c>
      <c r="H74" s="55"/>
      <c r="I74" s="55">
        <f>I75+I76</f>
        <v>0</v>
      </c>
      <c r="J74" s="55"/>
      <c r="K74" s="55">
        <f>K75+K76+K77</f>
        <v>4253.5</v>
      </c>
      <c r="L74" s="55">
        <f>L75+L76+L77</f>
        <v>99965.79</v>
      </c>
      <c r="M74" s="56">
        <f t="shared" si="7"/>
        <v>5746.5</v>
      </c>
      <c r="N74" s="70">
        <f t="shared" si="7"/>
        <v>112034.21</v>
      </c>
      <c r="O74" s="58">
        <v>0</v>
      </c>
      <c r="P74" s="59">
        <v>0</v>
      </c>
      <c r="Q74" s="1"/>
      <c r="R74" s="1"/>
    </row>
    <row r="75" spans="1:18" ht="15.75" thickBot="1">
      <c r="A75" s="60" t="s">
        <v>114</v>
      </c>
      <c r="B75" s="405" t="s">
        <v>53</v>
      </c>
      <c r="C75" s="406"/>
      <c r="D75" s="407"/>
      <c r="E75" s="61">
        <v>10000</v>
      </c>
      <c r="F75" s="31">
        <f>202000+E75</f>
        <v>212000</v>
      </c>
      <c r="G75" s="74">
        <v>4253.5</v>
      </c>
      <c r="H75" s="33"/>
      <c r="I75" s="33"/>
      <c r="J75" s="33"/>
      <c r="K75" s="33">
        <f>G75</f>
        <v>4253.5</v>
      </c>
      <c r="L75" s="33">
        <f>95712.29+K75</f>
        <v>99965.79</v>
      </c>
      <c r="M75" s="34">
        <f>E75-K75</f>
        <v>5746.5</v>
      </c>
      <c r="N75" s="35">
        <f t="shared" si="7"/>
        <v>112034.21</v>
      </c>
      <c r="O75" s="64">
        <v>0</v>
      </c>
      <c r="P75" s="65">
        <v>0</v>
      </c>
      <c r="Q75" s="1"/>
      <c r="R75" s="1"/>
    </row>
    <row r="76" spans="1:18" ht="15.75" thickBot="1">
      <c r="A76" s="60" t="s">
        <v>115</v>
      </c>
      <c r="B76" s="435" t="s">
        <v>104</v>
      </c>
      <c r="C76" s="436"/>
      <c r="D76" s="490"/>
      <c r="E76" s="81"/>
      <c r="F76" s="31"/>
      <c r="G76" s="74"/>
      <c r="H76" s="33"/>
      <c r="I76" s="33"/>
      <c r="J76" s="33"/>
      <c r="K76" s="33">
        <f>I76</f>
        <v>0</v>
      </c>
      <c r="L76" s="33">
        <f>0+K76</f>
        <v>0</v>
      </c>
      <c r="M76" s="34">
        <f t="shared" si="7"/>
        <v>0</v>
      </c>
      <c r="N76" s="35">
        <f t="shared" si="7"/>
        <v>0</v>
      </c>
      <c r="O76" s="64">
        <v>0</v>
      </c>
      <c r="P76" s="65">
        <v>0</v>
      </c>
      <c r="Q76" s="1"/>
      <c r="R76" s="1"/>
    </row>
    <row r="77" spans="1:18" ht="15.75" thickBot="1">
      <c r="A77" s="60" t="s">
        <v>116</v>
      </c>
      <c r="B77" s="405" t="s">
        <v>55</v>
      </c>
      <c r="C77" s="406"/>
      <c r="D77" s="407"/>
      <c r="E77" s="61"/>
      <c r="F77" s="31"/>
      <c r="G77" s="74"/>
      <c r="H77" s="33"/>
      <c r="I77" s="33"/>
      <c r="J77" s="33"/>
      <c r="K77" s="33">
        <f>0+J77</f>
        <v>0</v>
      </c>
      <c r="L77" s="33">
        <f>0+K77</f>
        <v>0</v>
      </c>
      <c r="M77" s="34">
        <f t="shared" si="7"/>
        <v>0</v>
      </c>
      <c r="N77" s="35">
        <f t="shared" si="7"/>
        <v>0</v>
      </c>
      <c r="O77" s="64">
        <v>0</v>
      </c>
      <c r="P77" s="65">
        <v>0</v>
      </c>
      <c r="Q77" s="1"/>
      <c r="R77" s="1"/>
    </row>
    <row r="78" spans="1:18" ht="27" customHeight="1" thickBot="1">
      <c r="A78" s="69" t="s">
        <v>117</v>
      </c>
      <c r="B78" s="408" t="s">
        <v>118</v>
      </c>
      <c r="C78" s="409"/>
      <c r="D78" s="410"/>
      <c r="E78" s="53">
        <f>E79</f>
        <v>0</v>
      </c>
      <c r="F78" s="73">
        <f>F79</f>
        <v>2000</v>
      </c>
      <c r="G78" s="75">
        <f>G79</f>
        <v>0</v>
      </c>
      <c r="H78" s="55"/>
      <c r="I78" s="55"/>
      <c r="J78" s="55"/>
      <c r="K78" s="55">
        <f>0+J78+G78</f>
        <v>0</v>
      </c>
      <c r="L78" s="55">
        <f>L79</f>
        <v>1973.5</v>
      </c>
      <c r="M78" s="56">
        <f t="shared" si="7"/>
        <v>0</v>
      </c>
      <c r="N78" s="70">
        <f t="shared" si="7"/>
        <v>26.5</v>
      </c>
      <c r="O78" s="58">
        <v>0</v>
      </c>
      <c r="P78" s="59">
        <v>0</v>
      </c>
      <c r="Q78" s="1"/>
      <c r="R78" s="1"/>
    </row>
    <row r="79" spans="1:18" ht="15.75" thickBot="1">
      <c r="A79" s="60" t="s">
        <v>119</v>
      </c>
      <c r="B79" s="405" t="s">
        <v>53</v>
      </c>
      <c r="C79" s="406"/>
      <c r="D79" s="407"/>
      <c r="E79" s="81">
        <v>0</v>
      </c>
      <c r="F79" s="31">
        <f>2000+E79</f>
        <v>2000</v>
      </c>
      <c r="G79" s="74"/>
      <c r="H79" s="33"/>
      <c r="I79" s="33"/>
      <c r="J79" s="33"/>
      <c r="K79" s="33">
        <f>0+J79+G79</f>
        <v>0</v>
      </c>
      <c r="L79" s="33">
        <f>1973.5+K79</f>
        <v>1973.5</v>
      </c>
      <c r="M79" s="34">
        <f>E79-K79</f>
        <v>0</v>
      </c>
      <c r="N79" s="35">
        <f t="shared" si="7"/>
        <v>26.5</v>
      </c>
      <c r="O79" s="64">
        <v>0</v>
      </c>
      <c r="P79" s="65">
        <v>0</v>
      </c>
      <c r="Q79" s="1"/>
      <c r="R79" s="1"/>
    </row>
    <row r="80" spans="1:18" ht="24.75" customHeight="1" thickBot="1">
      <c r="A80" s="69" t="s">
        <v>120</v>
      </c>
      <c r="B80" s="408" t="s">
        <v>121</v>
      </c>
      <c r="C80" s="409"/>
      <c r="D80" s="410"/>
      <c r="E80" s="53">
        <f>E81</f>
        <v>0</v>
      </c>
      <c r="F80" s="73">
        <f>F81</f>
        <v>18500</v>
      </c>
      <c r="G80" s="75">
        <f>G81</f>
        <v>0</v>
      </c>
      <c r="H80" s="55"/>
      <c r="I80" s="55"/>
      <c r="J80" s="55"/>
      <c r="K80" s="55">
        <f>0+J80+G80</f>
        <v>0</v>
      </c>
      <c r="L80" s="55">
        <f>L81</f>
        <v>12592.98</v>
      </c>
      <c r="M80" s="56">
        <f t="shared" si="7"/>
        <v>0</v>
      </c>
      <c r="N80" s="70">
        <f t="shared" si="7"/>
        <v>5907.02</v>
      </c>
      <c r="O80" s="58">
        <v>0</v>
      </c>
      <c r="P80" s="59">
        <v>0</v>
      </c>
      <c r="Q80" s="1"/>
      <c r="R80" s="1"/>
    </row>
    <row r="81" spans="1:18" ht="18.75" customHeight="1" thickBot="1">
      <c r="A81" s="60" t="s">
        <v>122</v>
      </c>
      <c r="B81" s="435" t="s">
        <v>53</v>
      </c>
      <c r="C81" s="436"/>
      <c r="D81" s="490"/>
      <c r="E81" s="81">
        <v>0</v>
      </c>
      <c r="F81" s="31">
        <f>18500+E81</f>
        <v>18500</v>
      </c>
      <c r="G81" s="89"/>
      <c r="H81" s="90"/>
      <c r="I81" s="91"/>
      <c r="J81" s="90"/>
      <c r="K81" s="33">
        <f>0+J81+G81</f>
        <v>0</v>
      </c>
      <c r="L81" s="33">
        <f>12592.98+L82</f>
        <v>12592.98</v>
      </c>
      <c r="M81" s="34">
        <f t="shared" si="7"/>
        <v>0</v>
      </c>
      <c r="N81" s="35">
        <f t="shared" si="7"/>
        <v>5907.02</v>
      </c>
      <c r="O81" s="64">
        <v>0</v>
      </c>
      <c r="P81" s="65">
        <v>0</v>
      </c>
      <c r="Q81" s="1"/>
      <c r="R81" s="1"/>
    </row>
    <row r="82" spans="1:18" ht="23.25" customHeight="1" thickBot="1">
      <c r="A82" s="60" t="s">
        <v>123</v>
      </c>
      <c r="B82" s="435" t="s">
        <v>55</v>
      </c>
      <c r="C82" s="436"/>
      <c r="D82" s="490"/>
      <c r="E82" s="81"/>
      <c r="F82" s="33"/>
      <c r="G82" s="74"/>
      <c r="H82" s="92"/>
      <c r="I82" s="33"/>
      <c r="J82" s="92"/>
      <c r="K82" s="33">
        <f>0+J82</f>
        <v>0</v>
      </c>
      <c r="L82" s="33">
        <v>0</v>
      </c>
      <c r="M82" s="34">
        <f>E82-K82</f>
        <v>0</v>
      </c>
      <c r="N82" s="35">
        <f t="shared" si="7"/>
        <v>0</v>
      </c>
      <c r="O82" s="64">
        <v>0</v>
      </c>
      <c r="P82" s="65">
        <v>0</v>
      </c>
      <c r="Q82" s="1"/>
      <c r="R82" s="1"/>
    </row>
    <row r="83" spans="1:18" ht="15">
      <c r="A83" s="449"/>
      <c r="B83" s="451" t="s">
        <v>43</v>
      </c>
      <c r="C83" s="452"/>
      <c r="D83" s="452"/>
      <c r="E83" s="452"/>
      <c r="F83" s="452"/>
      <c r="G83" s="452"/>
      <c r="H83" s="452"/>
      <c r="I83" s="452"/>
      <c r="J83" s="452"/>
      <c r="K83" s="452"/>
      <c r="L83" s="452"/>
      <c r="M83" s="452"/>
      <c r="N83" s="452"/>
      <c r="O83" s="452"/>
      <c r="P83" s="453"/>
      <c r="Q83" s="1"/>
      <c r="R83" s="1"/>
    </row>
    <row r="84" spans="1:18" ht="6.75" customHeight="1" thickBot="1">
      <c r="A84" s="450"/>
      <c r="B84" s="454"/>
      <c r="C84" s="455"/>
      <c r="D84" s="455"/>
      <c r="E84" s="455"/>
      <c r="F84" s="455"/>
      <c r="G84" s="455"/>
      <c r="H84" s="455"/>
      <c r="I84" s="455"/>
      <c r="J84" s="455"/>
      <c r="K84" s="455"/>
      <c r="L84" s="455"/>
      <c r="M84" s="455"/>
      <c r="N84" s="455"/>
      <c r="O84" s="455"/>
      <c r="P84" s="456"/>
      <c r="Q84" s="1"/>
      <c r="R84" s="1"/>
    </row>
    <row r="85" spans="1:18" ht="15.75" thickBot="1">
      <c r="A85" s="449"/>
      <c r="B85" s="364" t="s">
        <v>14</v>
      </c>
      <c r="C85" s="365"/>
      <c r="D85" s="366"/>
      <c r="E85" s="401" t="s">
        <v>24</v>
      </c>
      <c r="F85" s="403" t="s">
        <v>25</v>
      </c>
      <c r="G85" s="338" t="s">
        <v>44</v>
      </c>
      <c r="H85" s="321"/>
      <c r="I85" s="321"/>
      <c r="J85" s="321"/>
      <c r="K85" s="339"/>
      <c r="L85" s="340" t="s">
        <v>16</v>
      </c>
      <c r="M85" s="340" t="s">
        <v>17</v>
      </c>
      <c r="N85" s="340" t="s">
        <v>18</v>
      </c>
      <c r="O85" s="340" t="s">
        <v>19</v>
      </c>
      <c r="P85" s="340" t="s">
        <v>20</v>
      </c>
      <c r="Q85" s="1"/>
      <c r="R85" s="1"/>
    </row>
    <row r="86" spans="1:18" ht="72" customHeight="1" thickBot="1">
      <c r="A86" s="450"/>
      <c r="B86" s="367"/>
      <c r="C86" s="368"/>
      <c r="D86" s="369"/>
      <c r="E86" s="402"/>
      <c r="F86" s="404"/>
      <c r="G86" s="212" t="s">
        <v>45</v>
      </c>
      <c r="H86" s="212" t="s">
        <v>46</v>
      </c>
      <c r="I86" s="212" t="s">
        <v>47</v>
      </c>
      <c r="J86" s="7" t="s">
        <v>124</v>
      </c>
      <c r="K86" s="8" t="s">
        <v>27</v>
      </c>
      <c r="L86" s="341"/>
      <c r="M86" s="341"/>
      <c r="N86" s="341"/>
      <c r="O86" s="341"/>
      <c r="P86" s="341"/>
      <c r="Q86" s="1"/>
      <c r="R86" s="1"/>
    </row>
    <row r="87" spans="1:18" ht="15.75" thickBot="1">
      <c r="A87" s="60"/>
      <c r="B87" s="342">
        <v>1</v>
      </c>
      <c r="C87" s="343"/>
      <c r="D87" s="344"/>
      <c r="E87" s="17" t="s">
        <v>22</v>
      </c>
      <c r="F87" s="212">
        <v>3</v>
      </c>
      <c r="G87" s="212">
        <v>4</v>
      </c>
      <c r="H87" s="212">
        <v>5</v>
      </c>
      <c r="I87" s="7">
        <v>6</v>
      </c>
      <c r="J87" s="7">
        <v>7</v>
      </c>
      <c r="K87" s="48">
        <v>8</v>
      </c>
      <c r="L87" s="209">
        <v>9</v>
      </c>
      <c r="M87" s="7">
        <v>10</v>
      </c>
      <c r="N87" s="209">
        <v>11</v>
      </c>
      <c r="O87" s="7">
        <v>12</v>
      </c>
      <c r="P87" s="209">
        <v>13</v>
      </c>
      <c r="Q87" s="1"/>
      <c r="R87" s="1"/>
    </row>
    <row r="88" spans="1:18" ht="42.75" customHeight="1" thickBot="1">
      <c r="A88" s="51" t="s">
        <v>125</v>
      </c>
      <c r="B88" s="408" t="s">
        <v>126</v>
      </c>
      <c r="C88" s="409"/>
      <c r="D88" s="410"/>
      <c r="E88" s="53">
        <f>E89</f>
        <v>37380</v>
      </c>
      <c r="F88" s="73">
        <f>F89+F90+F91+F92</f>
        <v>192280</v>
      </c>
      <c r="G88" s="53">
        <f>G89+G90+G91+G92</f>
        <v>13154.35</v>
      </c>
      <c r="H88" s="55"/>
      <c r="I88" s="55">
        <f>I89+I90+I91</f>
        <v>0</v>
      </c>
      <c r="J88" s="55"/>
      <c r="K88" s="93">
        <f>K89+K90+K91+K92</f>
        <v>13154.35</v>
      </c>
      <c r="L88" s="55">
        <f>L89+L90+L91+L92</f>
        <v>170793.2</v>
      </c>
      <c r="M88" s="56">
        <f aca="true" t="shared" si="8" ref="M88:N103">E88-K88</f>
        <v>24225.65</v>
      </c>
      <c r="N88" s="70">
        <f t="shared" si="8"/>
        <v>21486.79999999999</v>
      </c>
      <c r="O88" s="58">
        <v>0</v>
      </c>
      <c r="P88" s="59">
        <v>0</v>
      </c>
      <c r="Q88" s="37"/>
      <c r="R88" s="1"/>
    </row>
    <row r="89" spans="1:18" ht="15.75" thickBot="1">
      <c r="A89" s="60" t="s">
        <v>127</v>
      </c>
      <c r="B89" s="405" t="s">
        <v>53</v>
      </c>
      <c r="C89" s="406"/>
      <c r="D89" s="407"/>
      <c r="E89" s="61">
        <f>E93+E94+E96+E97+E98+E100+E99+E95</f>
        <v>37380</v>
      </c>
      <c r="F89" s="31">
        <f>154900+E89</f>
        <v>192280</v>
      </c>
      <c r="G89" s="45">
        <f>G96+G97+G98</f>
        <v>13154.35</v>
      </c>
      <c r="H89" s="33"/>
      <c r="I89" s="33"/>
      <c r="J89" s="33"/>
      <c r="K89" s="94">
        <f>G89</f>
        <v>13154.35</v>
      </c>
      <c r="L89" s="33">
        <f>L93+L94+L96+L97+L98+L99+L100+L95</f>
        <v>170793.2</v>
      </c>
      <c r="M89" s="34">
        <f t="shared" si="8"/>
        <v>24225.65</v>
      </c>
      <c r="N89" s="35">
        <f t="shared" si="8"/>
        <v>21486.79999999999</v>
      </c>
      <c r="O89" s="64">
        <v>0</v>
      </c>
      <c r="P89" s="65">
        <v>0</v>
      </c>
      <c r="Q89" s="37"/>
      <c r="R89" s="1"/>
    </row>
    <row r="90" spans="1:18" ht="15.75" thickBot="1">
      <c r="A90" s="60" t="s">
        <v>128</v>
      </c>
      <c r="B90" s="457" t="s">
        <v>51</v>
      </c>
      <c r="C90" s="458"/>
      <c r="D90" s="459"/>
      <c r="E90" s="61"/>
      <c r="F90" s="31"/>
      <c r="G90" s="45"/>
      <c r="H90" s="33"/>
      <c r="I90" s="33"/>
      <c r="J90" s="33"/>
      <c r="K90" s="94">
        <f aca="true" t="shared" si="9" ref="K90:K99">G90</f>
        <v>0</v>
      </c>
      <c r="L90" s="33"/>
      <c r="M90" s="34">
        <f t="shared" si="8"/>
        <v>0</v>
      </c>
      <c r="N90" s="35">
        <f t="shared" si="8"/>
        <v>0</v>
      </c>
      <c r="O90" s="64">
        <v>0</v>
      </c>
      <c r="P90" s="65">
        <v>0</v>
      </c>
      <c r="Q90" s="37"/>
      <c r="R90" s="1"/>
    </row>
    <row r="91" spans="1:18" ht="15.75" thickBot="1">
      <c r="A91" s="60" t="s">
        <v>129</v>
      </c>
      <c r="B91" s="405" t="s">
        <v>104</v>
      </c>
      <c r="C91" s="406"/>
      <c r="D91" s="407"/>
      <c r="E91" s="61"/>
      <c r="F91" s="31"/>
      <c r="G91" s="45"/>
      <c r="H91" s="33"/>
      <c r="I91" s="33">
        <f>I97</f>
        <v>0</v>
      </c>
      <c r="J91" s="33"/>
      <c r="K91" s="94">
        <f>I91</f>
        <v>0</v>
      </c>
      <c r="L91" s="33">
        <f>0+K91</f>
        <v>0</v>
      </c>
      <c r="M91" s="34">
        <f t="shared" si="8"/>
        <v>0</v>
      </c>
      <c r="N91" s="35">
        <f t="shared" si="8"/>
        <v>0</v>
      </c>
      <c r="O91" s="64">
        <v>0</v>
      </c>
      <c r="P91" s="65">
        <v>0</v>
      </c>
      <c r="Q91" s="37"/>
      <c r="R91" s="1"/>
    </row>
    <row r="92" spans="1:18" ht="15.75" thickBot="1">
      <c r="A92" s="60" t="s">
        <v>130</v>
      </c>
      <c r="B92" s="405" t="s">
        <v>55</v>
      </c>
      <c r="C92" s="406"/>
      <c r="D92" s="407"/>
      <c r="E92" s="61"/>
      <c r="F92" s="31"/>
      <c r="G92" s="45"/>
      <c r="H92" s="33"/>
      <c r="I92" s="33"/>
      <c r="J92" s="33"/>
      <c r="K92" s="94">
        <f t="shared" si="9"/>
        <v>0</v>
      </c>
      <c r="L92" s="33">
        <f>0+K92</f>
        <v>0</v>
      </c>
      <c r="M92" s="34">
        <f t="shared" si="8"/>
        <v>0</v>
      </c>
      <c r="N92" s="35">
        <f t="shared" si="8"/>
        <v>0</v>
      </c>
      <c r="O92" s="64">
        <v>0</v>
      </c>
      <c r="P92" s="65">
        <v>0</v>
      </c>
      <c r="Q92" s="37"/>
      <c r="R92" s="80"/>
    </row>
    <row r="93" spans="1:18" ht="15.75" thickBot="1">
      <c r="A93" s="60" t="s">
        <v>131</v>
      </c>
      <c r="B93" s="420" t="s">
        <v>132</v>
      </c>
      <c r="C93" s="421"/>
      <c r="D93" s="422"/>
      <c r="E93" s="152">
        <v>3150</v>
      </c>
      <c r="F93" s="31">
        <f>12600+E93</f>
        <v>15750</v>
      </c>
      <c r="G93" s="45"/>
      <c r="H93" s="74"/>
      <c r="I93" s="74"/>
      <c r="J93" s="74"/>
      <c r="K93" s="94">
        <f t="shared" si="9"/>
        <v>0</v>
      </c>
      <c r="L93" s="33">
        <f>15000+K93</f>
        <v>15000</v>
      </c>
      <c r="M93" s="34">
        <f t="shared" si="8"/>
        <v>3150</v>
      </c>
      <c r="N93" s="35">
        <f t="shared" si="8"/>
        <v>750</v>
      </c>
      <c r="O93" s="64">
        <v>0</v>
      </c>
      <c r="P93" s="65">
        <v>0</v>
      </c>
      <c r="Q93" s="1"/>
      <c r="R93" s="37"/>
    </row>
    <row r="94" spans="1:18" ht="15.75" thickBot="1">
      <c r="A94" s="60" t="s">
        <v>133</v>
      </c>
      <c r="B94" s="414" t="s">
        <v>134</v>
      </c>
      <c r="C94" s="415"/>
      <c r="D94" s="416"/>
      <c r="E94" s="152">
        <v>4600</v>
      </c>
      <c r="F94" s="31">
        <f>18400+E94</f>
        <v>23000</v>
      </c>
      <c r="G94" s="45"/>
      <c r="H94" s="74"/>
      <c r="I94" s="74"/>
      <c r="J94" s="74"/>
      <c r="K94" s="94">
        <f>G94</f>
        <v>0</v>
      </c>
      <c r="L94" s="33">
        <f>26400+K94</f>
        <v>26400</v>
      </c>
      <c r="M94" s="34">
        <f t="shared" si="8"/>
        <v>4600</v>
      </c>
      <c r="N94" s="35">
        <f t="shared" si="8"/>
        <v>-3400</v>
      </c>
      <c r="O94" s="64">
        <v>0</v>
      </c>
      <c r="P94" s="65">
        <v>0</v>
      </c>
      <c r="Q94" s="1"/>
      <c r="R94" s="1"/>
    </row>
    <row r="95" spans="1:18" ht="15.75" thickBot="1">
      <c r="A95" s="60" t="s">
        <v>135</v>
      </c>
      <c r="B95" s="420" t="s">
        <v>136</v>
      </c>
      <c r="C95" s="421"/>
      <c r="D95" s="422"/>
      <c r="E95" s="152"/>
      <c r="F95" s="31">
        <f>0+E95</f>
        <v>0</v>
      </c>
      <c r="G95" s="45"/>
      <c r="H95" s="74"/>
      <c r="I95" s="74"/>
      <c r="J95" s="74"/>
      <c r="K95" s="94">
        <f t="shared" si="9"/>
        <v>0</v>
      </c>
      <c r="L95" s="33">
        <f>0+K95</f>
        <v>0</v>
      </c>
      <c r="M95" s="34">
        <f t="shared" si="8"/>
        <v>0</v>
      </c>
      <c r="N95" s="35">
        <f t="shared" si="8"/>
        <v>0</v>
      </c>
      <c r="O95" s="64">
        <v>0</v>
      </c>
      <c r="P95" s="65">
        <v>0</v>
      </c>
      <c r="Q95" s="1"/>
      <c r="R95" s="1"/>
    </row>
    <row r="96" spans="1:18" ht="15.75" thickBot="1">
      <c r="A96" s="60" t="s">
        <v>137</v>
      </c>
      <c r="B96" s="420" t="s">
        <v>138</v>
      </c>
      <c r="C96" s="421"/>
      <c r="D96" s="422"/>
      <c r="E96" s="152">
        <v>1420</v>
      </c>
      <c r="F96" s="31">
        <f>5680+E96</f>
        <v>7100</v>
      </c>
      <c r="G96" s="45">
        <v>1485</v>
      </c>
      <c r="H96" s="74"/>
      <c r="I96" s="74"/>
      <c r="J96" s="74"/>
      <c r="K96" s="94">
        <f t="shared" si="9"/>
        <v>1485</v>
      </c>
      <c r="L96" s="33">
        <f>5765+K96</f>
        <v>7250</v>
      </c>
      <c r="M96" s="34">
        <f t="shared" si="8"/>
        <v>-65</v>
      </c>
      <c r="N96" s="35">
        <f t="shared" si="8"/>
        <v>-150</v>
      </c>
      <c r="O96" s="64">
        <v>0</v>
      </c>
      <c r="P96" s="65">
        <v>0</v>
      </c>
      <c r="Q96" s="1"/>
      <c r="R96" s="1"/>
    </row>
    <row r="97" spans="1:18" ht="15.75" thickBot="1">
      <c r="A97" s="60" t="s">
        <v>139</v>
      </c>
      <c r="B97" s="420" t="s">
        <v>140</v>
      </c>
      <c r="C97" s="421"/>
      <c r="D97" s="422"/>
      <c r="E97" s="152">
        <v>7500</v>
      </c>
      <c r="F97" s="31">
        <f>30000+E97</f>
        <v>37500</v>
      </c>
      <c r="G97" s="45">
        <v>10169.35</v>
      </c>
      <c r="H97" s="74"/>
      <c r="I97" s="74"/>
      <c r="J97" s="74"/>
      <c r="K97" s="94">
        <f>G97+I97</f>
        <v>10169.35</v>
      </c>
      <c r="L97" s="33">
        <f>28843.19+K97</f>
        <v>39012.54</v>
      </c>
      <c r="M97" s="34">
        <f t="shared" si="8"/>
        <v>-2669.3500000000004</v>
      </c>
      <c r="N97" s="35">
        <f t="shared" si="8"/>
        <v>-1512.5400000000009</v>
      </c>
      <c r="O97" s="64">
        <v>0</v>
      </c>
      <c r="P97" s="65">
        <v>0</v>
      </c>
      <c r="Q97" s="1"/>
      <c r="R97" s="71"/>
    </row>
    <row r="98" spans="1:16" ht="15.75" thickBot="1">
      <c r="A98" s="60" t="s">
        <v>141</v>
      </c>
      <c r="B98" s="491" t="s">
        <v>142</v>
      </c>
      <c r="C98" s="492"/>
      <c r="D98" s="493"/>
      <c r="E98" s="152">
        <v>2910</v>
      </c>
      <c r="F98" s="31">
        <f>11640+E98</f>
        <v>14550</v>
      </c>
      <c r="G98" s="45">
        <v>1500</v>
      </c>
      <c r="H98" s="74"/>
      <c r="I98" s="74"/>
      <c r="J98" s="74"/>
      <c r="K98" s="94">
        <f t="shared" si="9"/>
        <v>1500</v>
      </c>
      <c r="L98" s="33">
        <f>13244+K98</f>
        <v>14744</v>
      </c>
      <c r="M98" s="34">
        <f t="shared" si="8"/>
        <v>1410</v>
      </c>
      <c r="N98" s="35">
        <f t="shared" si="8"/>
        <v>-194</v>
      </c>
      <c r="O98" s="64">
        <v>0</v>
      </c>
      <c r="P98" s="65">
        <v>0</v>
      </c>
    </row>
    <row r="99" spans="1:16" ht="15.75" thickBot="1">
      <c r="A99" s="60" t="s">
        <v>143</v>
      </c>
      <c r="B99" s="420" t="s">
        <v>144</v>
      </c>
      <c r="C99" s="421"/>
      <c r="D99" s="422"/>
      <c r="E99" s="152">
        <v>8000</v>
      </c>
      <c r="F99" s="31">
        <f>8000+E99</f>
        <v>16000</v>
      </c>
      <c r="G99" s="45"/>
      <c r="H99" s="74"/>
      <c r="I99" s="74"/>
      <c r="J99" s="74"/>
      <c r="K99" s="94">
        <f t="shared" si="9"/>
        <v>0</v>
      </c>
      <c r="L99" s="33">
        <f>5000+K99</f>
        <v>5000</v>
      </c>
      <c r="M99" s="34">
        <f t="shared" si="8"/>
        <v>8000</v>
      </c>
      <c r="N99" s="35">
        <f t="shared" si="8"/>
        <v>11000</v>
      </c>
      <c r="O99" s="64">
        <v>0</v>
      </c>
      <c r="P99" s="65">
        <v>0</v>
      </c>
    </row>
    <row r="100" spans="1:16" ht="15.75" thickBot="1">
      <c r="A100" s="60" t="s">
        <v>145</v>
      </c>
      <c r="B100" s="420" t="s">
        <v>146</v>
      </c>
      <c r="C100" s="421"/>
      <c r="D100" s="422"/>
      <c r="E100" s="152">
        <v>9800</v>
      </c>
      <c r="F100" s="31">
        <f>29400+E100</f>
        <v>39200</v>
      </c>
      <c r="G100" s="45"/>
      <c r="H100" s="74"/>
      <c r="I100" s="74"/>
      <c r="J100" s="74"/>
      <c r="K100" s="94">
        <f>G100</f>
        <v>0</v>
      </c>
      <c r="L100" s="33">
        <f>63386.66+K100</f>
        <v>63386.66</v>
      </c>
      <c r="M100" s="34">
        <f t="shared" si="8"/>
        <v>9800</v>
      </c>
      <c r="N100" s="35">
        <f t="shared" si="8"/>
        <v>-24186.660000000003</v>
      </c>
      <c r="O100" s="64">
        <v>0</v>
      </c>
      <c r="P100" s="65">
        <v>0</v>
      </c>
    </row>
    <row r="101" spans="1:18" ht="26.25" customHeight="1" thickBot="1">
      <c r="A101" s="86" t="s">
        <v>147</v>
      </c>
      <c r="B101" s="423" t="s">
        <v>148</v>
      </c>
      <c r="C101" s="424"/>
      <c r="D101" s="425"/>
      <c r="E101" s="73">
        <f>E102+E103</f>
        <v>232200</v>
      </c>
      <c r="F101" s="73">
        <f>F102+F103+F104+F105</f>
        <v>493900</v>
      </c>
      <c r="G101" s="73">
        <f>G102+G104+G105</f>
        <v>8085</v>
      </c>
      <c r="H101" s="75">
        <f>H103</f>
        <v>0</v>
      </c>
      <c r="I101" s="55">
        <f>I104</f>
        <v>0</v>
      </c>
      <c r="J101" s="55"/>
      <c r="K101" s="73">
        <f>G101+H101+I101+J101</f>
        <v>8085</v>
      </c>
      <c r="L101" s="55">
        <f>L102+L103+L104+L105</f>
        <v>443791.46</v>
      </c>
      <c r="M101" s="56">
        <f t="shared" si="8"/>
        <v>224115</v>
      </c>
      <c r="N101" s="70">
        <f t="shared" si="8"/>
        <v>50108.53999999998</v>
      </c>
      <c r="O101" s="58">
        <v>0</v>
      </c>
      <c r="P101" s="59">
        <v>0</v>
      </c>
      <c r="R101" s="95"/>
    </row>
    <row r="102" spans="1:18" ht="15.75" thickBot="1">
      <c r="A102" s="60" t="s">
        <v>149</v>
      </c>
      <c r="B102" s="405" t="s">
        <v>53</v>
      </c>
      <c r="C102" s="406"/>
      <c r="D102" s="407"/>
      <c r="E102" s="61">
        <f>E106+E107+E114+E119+E131+E113+E128+E115+E120</f>
        <v>232200</v>
      </c>
      <c r="F102" s="31">
        <f>261700+E102</f>
        <v>493900</v>
      </c>
      <c r="G102" s="74">
        <f>G113++G107+G114+G118+G120+G128+G119+G130</f>
        <v>8085</v>
      </c>
      <c r="H102" s="74"/>
      <c r="I102" s="33"/>
      <c r="J102" s="33"/>
      <c r="K102" s="94">
        <f>G102</f>
        <v>8085</v>
      </c>
      <c r="L102" s="33">
        <f>435706.46+K102</f>
        <v>443791.46</v>
      </c>
      <c r="M102" s="34">
        <f t="shared" si="8"/>
        <v>224115</v>
      </c>
      <c r="N102" s="35">
        <f t="shared" si="8"/>
        <v>50108.53999999998</v>
      </c>
      <c r="O102" s="64">
        <v>0</v>
      </c>
      <c r="P102" s="65">
        <v>0</v>
      </c>
      <c r="R102" s="95"/>
    </row>
    <row r="103" spans="1:18" ht="15.75" thickBot="1">
      <c r="A103" s="60" t="s">
        <v>150</v>
      </c>
      <c r="B103" s="457" t="s">
        <v>51</v>
      </c>
      <c r="C103" s="458"/>
      <c r="D103" s="459"/>
      <c r="E103" s="61">
        <f>E129</f>
        <v>0</v>
      </c>
      <c r="F103" s="31">
        <f>0+E103</f>
        <v>0</v>
      </c>
      <c r="G103" s="74"/>
      <c r="H103" s="74">
        <f>H129</f>
        <v>0</v>
      </c>
      <c r="I103" s="33"/>
      <c r="J103" s="33"/>
      <c r="K103" s="94">
        <f>H103</f>
        <v>0</v>
      </c>
      <c r="L103" s="33">
        <f>0+K103</f>
        <v>0</v>
      </c>
      <c r="M103" s="34">
        <f t="shared" si="8"/>
        <v>0</v>
      </c>
      <c r="N103" s="35">
        <f t="shared" si="8"/>
        <v>0</v>
      </c>
      <c r="O103" s="64">
        <v>0</v>
      </c>
      <c r="P103" s="65">
        <v>0</v>
      </c>
      <c r="R103" s="96"/>
    </row>
    <row r="104" spans="1:16" ht="15.75" thickBot="1">
      <c r="A104" s="60" t="s">
        <v>151</v>
      </c>
      <c r="B104" s="405" t="s">
        <v>104</v>
      </c>
      <c r="C104" s="406"/>
      <c r="D104" s="407"/>
      <c r="E104" s="61"/>
      <c r="F104" s="31"/>
      <c r="G104" s="31"/>
      <c r="H104" s="74"/>
      <c r="I104" s="33">
        <f>I128+I117+I131</f>
        <v>0</v>
      </c>
      <c r="J104" s="33"/>
      <c r="K104" s="94">
        <f>I104</f>
        <v>0</v>
      </c>
      <c r="L104" s="33">
        <f>0+K104</f>
        <v>0</v>
      </c>
      <c r="M104" s="34">
        <f aca="true" t="shared" si="10" ref="M104:N120">E104-K104</f>
        <v>0</v>
      </c>
      <c r="N104" s="35">
        <f t="shared" si="10"/>
        <v>0</v>
      </c>
      <c r="O104" s="64">
        <v>0</v>
      </c>
      <c r="P104" s="65">
        <v>0</v>
      </c>
    </row>
    <row r="105" spans="1:18" ht="15.75" thickBot="1">
      <c r="A105" s="60" t="s">
        <v>152</v>
      </c>
      <c r="B105" s="457" t="s">
        <v>55</v>
      </c>
      <c r="C105" s="458"/>
      <c r="D105" s="459"/>
      <c r="E105" s="61"/>
      <c r="F105" s="31"/>
      <c r="G105" s="74"/>
      <c r="H105" s="74"/>
      <c r="I105" s="33"/>
      <c r="J105" s="33"/>
      <c r="K105" s="94">
        <f>G105</f>
        <v>0</v>
      </c>
      <c r="L105" s="33">
        <f>0+K105</f>
        <v>0</v>
      </c>
      <c r="M105" s="34">
        <f t="shared" si="10"/>
        <v>0</v>
      </c>
      <c r="N105" s="35">
        <f t="shared" si="10"/>
        <v>0</v>
      </c>
      <c r="O105" s="64">
        <v>0</v>
      </c>
      <c r="P105" s="65">
        <v>0</v>
      </c>
      <c r="R105" s="95"/>
    </row>
    <row r="106" spans="1:16" ht="15.75" thickBot="1">
      <c r="A106" s="60" t="s">
        <v>153</v>
      </c>
      <c r="B106" s="460" t="s">
        <v>154</v>
      </c>
      <c r="C106" s="461"/>
      <c r="D106" s="462"/>
      <c r="E106" s="31"/>
      <c r="F106" s="31">
        <f>40000+E106</f>
        <v>40000</v>
      </c>
      <c r="G106" s="74"/>
      <c r="H106" s="74"/>
      <c r="I106" s="74"/>
      <c r="J106" s="74"/>
      <c r="K106" s="94">
        <f aca="true" t="shared" si="11" ref="K106:K120">G106</f>
        <v>0</v>
      </c>
      <c r="L106" s="33">
        <f>0+K106</f>
        <v>0</v>
      </c>
      <c r="M106" s="34">
        <f t="shared" si="10"/>
        <v>0</v>
      </c>
      <c r="N106" s="35">
        <f t="shared" si="10"/>
        <v>40000</v>
      </c>
      <c r="O106" s="64">
        <v>0</v>
      </c>
      <c r="P106" s="65">
        <v>0</v>
      </c>
    </row>
    <row r="107" spans="1:16" ht="15.75" thickBot="1">
      <c r="A107" s="60" t="s">
        <v>155</v>
      </c>
      <c r="B107" s="420" t="s">
        <v>156</v>
      </c>
      <c r="C107" s="421"/>
      <c r="D107" s="422"/>
      <c r="E107" s="31"/>
      <c r="F107" s="31">
        <f>11200+E107</f>
        <v>11200</v>
      </c>
      <c r="G107" s="74">
        <v>2800</v>
      </c>
      <c r="H107" s="74"/>
      <c r="I107" s="74"/>
      <c r="J107" s="74"/>
      <c r="K107" s="94">
        <f t="shared" si="11"/>
        <v>2800</v>
      </c>
      <c r="L107" s="33">
        <f>0+K107</f>
        <v>2800</v>
      </c>
      <c r="M107" s="34">
        <f t="shared" si="10"/>
        <v>-2800</v>
      </c>
      <c r="N107" s="35">
        <f t="shared" si="10"/>
        <v>8400</v>
      </c>
      <c r="O107" s="64">
        <v>0</v>
      </c>
      <c r="P107" s="65">
        <v>0</v>
      </c>
    </row>
    <row r="108" spans="1:16" ht="27" customHeight="1" thickBot="1">
      <c r="A108" s="60" t="s">
        <v>157</v>
      </c>
      <c r="B108" s="466" t="s">
        <v>158</v>
      </c>
      <c r="C108" s="467"/>
      <c r="D108" s="468"/>
      <c r="E108" s="31"/>
      <c r="F108" s="31"/>
      <c r="G108" s="74"/>
      <c r="H108" s="74"/>
      <c r="I108" s="74"/>
      <c r="J108" s="74"/>
      <c r="K108" s="94">
        <f t="shared" si="11"/>
        <v>0</v>
      </c>
      <c r="L108" s="33">
        <f>0+K108</f>
        <v>0</v>
      </c>
      <c r="M108" s="34">
        <f t="shared" si="10"/>
        <v>0</v>
      </c>
      <c r="N108" s="35">
        <f t="shared" si="10"/>
        <v>0</v>
      </c>
      <c r="O108" s="64">
        <v>0</v>
      </c>
      <c r="P108" s="65">
        <v>0</v>
      </c>
    </row>
    <row r="109" spans="1:16" ht="21" customHeight="1" thickBot="1">
      <c r="A109" s="60" t="s">
        <v>159</v>
      </c>
      <c r="B109" s="420" t="s">
        <v>160</v>
      </c>
      <c r="C109" s="421"/>
      <c r="D109" s="422"/>
      <c r="E109" s="31"/>
      <c r="F109" s="31"/>
      <c r="G109" s="74"/>
      <c r="H109" s="74"/>
      <c r="I109" s="74"/>
      <c r="J109" s="74"/>
      <c r="K109" s="94">
        <f t="shared" si="11"/>
        <v>0</v>
      </c>
      <c r="L109" s="33">
        <f>0+K109</f>
        <v>0</v>
      </c>
      <c r="M109" s="34">
        <f t="shared" si="10"/>
        <v>0</v>
      </c>
      <c r="N109" s="35">
        <f t="shared" si="10"/>
        <v>0</v>
      </c>
      <c r="O109" s="64">
        <v>0</v>
      </c>
      <c r="P109" s="65">
        <v>0</v>
      </c>
    </row>
    <row r="110" spans="1:18" ht="15.75" thickBot="1">
      <c r="A110" s="60" t="s">
        <v>161</v>
      </c>
      <c r="B110" s="420" t="s">
        <v>162</v>
      </c>
      <c r="C110" s="421"/>
      <c r="D110" s="422"/>
      <c r="E110" s="31"/>
      <c r="F110" s="31"/>
      <c r="G110" s="74"/>
      <c r="H110" s="74"/>
      <c r="I110" s="74"/>
      <c r="J110" s="74"/>
      <c r="K110" s="94">
        <f t="shared" si="11"/>
        <v>0</v>
      </c>
      <c r="L110" s="33">
        <f>0+K110</f>
        <v>0</v>
      </c>
      <c r="M110" s="34">
        <f t="shared" si="10"/>
        <v>0</v>
      </c>
      <c r="N110" s="35">
        <f t="shared" si="10"/>
        <v>0</v>
      </c>
      <c r="O110" s="64">
        <v>0</v>
      </c>
      <c r="P110" s="65">
        <v>0</v>
      </c>
      <c r="R110" s="96"/>
    </row>
    <row r="111" spans="1:16" ht="26.25" customHeight="1" thickBot="1">
      <c r="A111" s="60" t="s">
        <v>163</v>
      </c>
      <c r="B111" s="466" t="s">
        <v>164</v>
      </c>
      <c r="C111" s="467"/>
      <c r="D111" s="468"/>
      <c r="E111" s="31"/>
      <c r="F111" s="31"/>
      <c r="G111" s="74"/>
      <c r="H111" s="74"/>
      <c r="I111" s="74"/>
      <c r="J111" s="74"/>
      <c r="K111" s="94">
        <f t="shared" si="11"/>
        <v>0</v>
      </c>
      <c r="L111" s="33">
        <f>0+K111</f>
        <v>0</v>
      </c>
      <c r="M111" s="34">
        <f t="shared" si="10"/>
        <v>0</v>
      </c>
      <c r="N111" s="35">
        <f t="shared" si="10"/>
        <v>0</v>
      </c>
      <c r="O111" s="64">
        <v>0</v>
      </c>
      <c r="P111" s="65">
        <v>0</v>
      </c>
    </row>
    <row r="112" spans="1:16" ht="30" customHeight="1" thickBot="1">
      <c r="A112" s="60" t="s">
        <v>165</v>
      </c>
      <c r="B112" s="420" t="s">
        <v>166</v>
      </c>
      <c r="C112" s="421"/>
      <c r="D112" s="422"/>
      <c r="E112" s="31"/>
      <c r="F112" s="31"/>
      <c r="G112" s="74"/>
      <c r="H112" s="74"/>
      <c r="I112" s="74"/>
      <c r="J112" s="74"/>
      <c r="K112" s="94">
        <f t="shared" si="11"/>
        <v>0</v>
      </c>
      <c r="L112" s="33">
        <f>0+K112</f>
        <v>0</v>
      </c>
      <c r="M112" s="34">
        <f t="shared" si="10"/>
        <v>0</v>
      </c>
      <c r="N112" s="35">
        <f t="shared" si="10"/>
        <v>0</v>
      </c>
      <c r="O112" s="64">
        <v>0</v>
      </c>
      <c r="P112" s="65">
        <v>0</v>
      </c>
    </row>
    <row r="113" spans="1:18" ht="19.5" customHeight="1" thickBot="1">
      <c r="A113" s="60" t="s">
        <v>167</v>
      </c>
      <c r="B113" s="420" t="s">
        <v>168</v>
      </c>
      <c r="C113" s="421"/>
      <c r="D113" s="422"/>
      <c r="E113" s="31"/>
      <c r="F113" s="31"/>
      <c r="G113" s="74"/>
      <c r="H113" s="74"/>
      <c r="I113" s="74"/>
      <c r="J113" s="74"/>
      <c r="K113" s="94">
        <f t="shared" si="11"/>
        <v>0</v>
      </c>
      <c r="L113" s="33">
        <f>35790+K113</f>
        <v>35790</v>
      </c>
      <c r="M113" s="34">
        <f t="shared" si="10"/>
        <v>0</v>
      </c>
      <c r="N113" s="35">
        <f t="shared" si="10"/>
        <v>-35790</v>
      </c>
      <c r="O113" s="64">
        <v>0</v>
      </c>
      <c r="P113" s="65">
        <v>0</v>
      </c>
      <c r="R113" s="95"/>
    </row>
    <row r="114" spans="1:16" ht="30" customHeight="1" thickBot="1">
      <c r="A114" s="60" t="s">
        <v>169</v>
      </c>
      <c r="B114" s="420" t="s">
        <v>170</v>
      </c>
      <c r="C114" s="421"/>
      <c r="D114" s="422"/>
      <c r="E114" s="31">
        <v>1000</v>
      </c>
      <c r="F114" s="31">
        <f>4000+E114</f>
        <v>5000</v>
      </c>
      <c r="G114" s="74">
        <v>1765</v>
      </c>
      <c r="H114" s="74"/>
      <c r="I114" s="74"/>
      <c r="J114" s="74"/>
      <c r="K114" s="94">
        <f t="shared" si="11"/>
        <v>1765</v>
      </c>
      <c r="L114" s="33">
        <f>10138.46+K114</f>
        <v>11903.46</v>
      </c>
      <c r="M114" s="34">
        <f>E114-K114</f>
        <v>-765</v>
      </c>
      <c r="N114" s="35">
        <f t="shared" si="10"/>
        <v>-6903.459999999999</v>
      </c>
      <c r="O114" s="64">
        <v>0</v>
      </c>
      <c r="P114" s="65">
        <v>0</v>
      </c>
    </row>
    <row r="115" spans="1:16" ht="30" customHeight="1" thickBot="1">
      <c r="A115" s="60" t="s">
        <v>171</v>
      </c>
      <c r="B115" s="420" t="s">
        <v>172</v>
      </c>
      <c r="C115" s="421"/>
      <c r="D115" s="422"/>
      <c r="E115" s="31">
        <v>80000</v>
      </c>
      <c r="F115" s="31">
        <f>4000+E115</f>
        <v>84000</v>
      </c>
      <c r="G115" s="74"/>
      <c r="H115" s="74"/>
      <c r="I115" s="74"/>
      <c r="J115" s="74"/>
      <c r="K115" s="94">
        <f t="shared" si="11"/>
        <v>0</v>
      </c>
      <c r="L115" s="33">
        <f>0+K115</f>
        <v>0</v>
      </c>
      <c r="M115" s="34">
        <f t="shared" si="10"/>
        <v>80000</v>
      </c>
      <c r="N115" s="35">
        <f t="shared" si="10"/>
        <v>84000</v>
      </c>
      <c r="O115" s="64">
        <v>0</v>
      </c>
      <c r="P115" s="65">
        <v>0</v>
      </c>
    </row>
    <row r="116" spans="1:16" ht="30.75" customHeight="1" thickBot="1">
      <c r="A116" s="60" t="s">
        <v>173</v>
      </c>
      <c r="B116" s="420" t="s">
        <v>174</v>
      </c>
      <c r="C116" s="421"/>
      <c r="D116" s="422"/>
      <c r="E116" s="31"/>
      <c r="F116" s="31"/>
      <c r="G116" s="74"/>
      <c r="H116" s="74"/>
      <c r="I116" s="74"/>
      <c r="J116" s="74"/>
      <c r="K116" s="94">
        <f t="shared" si="11"/>
        <v>0</v>
      </c>
      <c r="L116" s="33">
        <f>0+K116</f>
        <v>0</v>
      </c>
      <c r="M116" s="34">
        <f t="shared" si="10"/>
        <v>0</v>
      </c>
      <c r="N116" s="35">
        <f t="shared" si="10"/>
        <v>0</v>
      </c>
      <c r="O116" s="64">
        <v>0</v>
      </c>
      <c r="P116" s="65">
        <v>0</v>
      </c>
    </row>
    <row r="117" spans="1:16" ht="43.5" customHeight="1" thickBot="1">
      <c r="A117" s="60"/>
      <c r="B117" s="420" t="s">
        <v>175</v>
      </c>
      <c r="C117" s="421"/>
      <c r="D117" s="422"/>
      <c r="E117" s="31"/>
      <c r="F117" s="31"/>
      <c r="G117" s="74"/>
      <c r="H117" s="74"/>
      <c r="I117" s="74"/>
      <c r="J117" s="74"/>
      <c r="K117" s="94">
        <f>I117</f>
        <v>0</v>
      </c>
      <c r="L117" s="33">
        <f>0+K117</f>
        <v>0</v>
      </c>
      <c r="M117" s="34">
        <f t="shared" si="10"/>
        <v>0</v>
      </c>
      <c r="N117" s="35">
        <f t="shared" si="10"/>
        <v>0</v>
      </c>
      <c r="O117" s="64">
        <v>0</v>
      </c>
      <c r="P117" s="65">
        <v>0</v>
      </c>
    </row>
    <row r="118" spans="1:16" ht="30" customHeight="1" thickBot="1">
      <c r="A118" s="60" t="s">
        <v>176</v>
      </c>
      <c r="B118" s="420" t="s">
        <v>177</v>
      </c>
      <c r="C118" s="421"/>
      <c r="D118" s="422"/>
      <c r="E118" s="31"/>
      <c r="F118" s="31"/>
      <c r="G118" s="74"/>
      <c r="H118" s="74"/>
      <c r="I118" s="74"/>
      <c r="J118" s="74"/>
      <c r="K118" s="94">
        <f>G118</f>
        <v>0</v>
      </c>
      <c r="L118" s="33">
        <f>1356.68+K118</f>
        <v>1356.68</v>
      </c>
      <c r="M118" s="34">
        <f t="shared" si="10"/>
        <v>0</v>
      </c>
      <c r="N118" s="35">
        <f t="shared" si="10"/>
        <v>-1356.68</v>
      </c>
      <c r="O118" s="64">
        <v>0</v>
      </c>
      <c r="P118" s="65">
        <v>0</v>
      </c>
    </row>
    <row r="119" spans="1:18" ht="30.75" customHeight="1" thickBot="1">
      <c r="A119" s="60" t="s">
        <v>178</v>
      </c>
      <c r="B119" s="463" t="s">
        <v>179</v>
      </c>
      <c r="C119" s="464"/>
      <c r="D119" s="465"/>
      <c r="E119" s="31"/>
      <c r="F119" s="31"/>
      <c r="G119" s="74"/>
      <c r="H119" s="74"/>
      <c r="I119" s="74"/>
      <c r="J119" s="74"/>
      <c r="K119" s="94">
        <f>G119</f>
        <v>0</v>
      </c>
      <c r="L119" s="33">
        <f>6546+K119</f>
        <v>6546</v>
      </c>
      <c r="M119" s="34">
        <f t="shared" si="10"/>
        <v>0</v>
      </c>
      <c r="N119" s="35">
        <f t="shared" si="10"/>
        <v>-6546</v>
      </c>
      <c r="O119" s="64">
        <v>0</v>
      </c>
      <c r="P119" s="65">
        <v>0</v>
      </c>
      <c r="R119" s="96">
        <f>F131+F129+F128+F119+F115+F114+F113+F107+F106</f>
        <v>446200</v>
      </c>
    </row>
    <row r="120" spans="1:16" ht="29.25" customHeight="1" thickBot="1">
      <c r="A120" s="97" t="s">
        <v>180</v>
      </c>
      <c r="B120" s="420" t="s">
        <v>181</v>
      </c>
      <c r="C120" s="421"/>
      <c r="D120" s="422"/>
      <c r="E120" s="31">
        <v>1200</v>
      </c>
      <c r="F120" s="31">
        <f>4300+E120</f>
        <v>5500</v>
      </c>
      <c r="G120" s="74">
        <v>500</v>
      </c>
      <c r="H120" s="74"/>
      <c r="I120" s="74"/>
      <c r="J120" s="74"/>
      <c r="K120" s="94">
        <f t="shared" si="11"/>
        <v>500</v>
      </c>
      <c r="L120" s="33">
        <f>10350+K120</f>
        <v>10850</v>
      </c>
      <c r="M120" s="34">
        <f t="shared" si="10"/>
        <v>700</v>
      </c>
      <c r="N120" s="35">
        <f t="shared" si="10"/>
        <v>-5350</v>
      </c>
      <c r="O120" s="64">
        <v>0</v>
      </c>
      <c r="P120" s="65">
        <v>0</v>
      </c>
    </row>
    <row r="121" spans="1:16" ht="15">
      <c r="A121" s="98"/>
      <c r="B121" s="396" t="s">
        <v>43</v>
      </c>
      <c r="C121" s="396"/>
      <c r="D121" s="396"/>
      <c r="E121" s="396"/>
      <c r="F121" s="396"/>
      <c r="G121" s="396"/>
      <c r="H121" s="396"/>
      <c r="I121" s="396"/>
      <c r="J121" s="396"/>
      <c r="K121" s="396"/>
      <c r="L121" s="396"/>
      <c r="M121" s="396"/>
      <c r="N121" s="396"/>
      <c r="O121" s="396"/>
      <c r="P121" s="397"/>
    </row>
    <row r="122" spans="1:16" ht="3" customHeight="1" thickBot="1">
      <c r="A122" s="99"/>
      <c r="B122" s="399"/>
      <c r="C122" s="399"/>
      <c r="D122" s="399"/>
      <c r="E122" s="399"/>
      <c r="F122" s="399"/>
      <c r="G122" s="399"/>
      <c r="H122" s="399"/>
      <c r="I122" s="399"/>
      <c r="J122" s="399"/>
      <c r="K122" s="399"/>
      <c r="L122" s="399"/>
      <c r="M122" s="399"/>
      <c r="N122" s="399"/>
      <c r="O122" s="399"/>
      <c r="P122" s="400"/>
    </row>
    <row r="123" spans="1:16" ht="15.75" thickBot="1">
      <c r="A123" s="100"/>
      <c r="B123" s="471" t="s">
        <v>14</v>
      </c>
      <c r="C123" s="472"/>
      <c r="D123" s="473"/>
      <c r="E123" s="477" t="s">
        <v>24</v>
      </c>
      <c r="F123" s="479" t="s">
        <v>25</v>
      </c>
      <c r="G123" s="481" t="s">
        <v>44</v>
      </c>
      <c r="H123" s="482"/>
      <c r="I123" s="482"/>
      <c r="J123" s="482"/>
      <c r="K123" s="483"/>
      <c r="L123" s="469" t="s">
        <v>16</v>
      </c>
      <c r="M123" s="469" t="s">
        <v>17</v>
      </c>
      <c r="N123" s="469" t="s">
        <v>18</v>
      </c>
      <c r="O123" s="469" t="s">
        <v>19</v>
      </c>
      <c r="P123" s="469" t="s">
        <v>20</v>
      </c>
    </row>
    <row r="124" spans="1:16" ht="68.25" customHeight="1" thickBot="1">
      <c r="A124" s="215"/>
      <c r="B124" s="474"/>
      <c r="C124" s="475"/>
      <c r="D124" s="476"/>
      <c r="E124" s="478"/>
      <c r="F124" s="480"/>
      <c r="G124" s="102" t="s">
        <v>45</v>
      </c>
      <c r="H124" s="102" t="s">
        <v>46</v>
      </c>
      <c r="I124" s="102" t="s">
        <v>47</v>
      </c>
      <c r="J124" s="103" t="s">
        <v>48</v>
      </c>
      <c r="K124" s="104" t="s">
        <v>27</v>
      </c>
      <c r="L124" s="470"/>
      <c r="M124" s="470"/>
      <c r="N124" s="470"/>
      <c r="O124" s="470"/>
      <c r="P124" s="470"/>
    </row>
    <row r="125" spans="1:16" ht="15.75" thickBot="1">
      <c r="A125" s="105"/>
      <c r="B125" s="342">
        <v>1</v>
      </c>
      <c r="C125" s="343"/>
      <c r="D125" s="344"/>
      <c r="E125" s="17" t="s">
        <v>22</v>
      </c>
      <c r="F125" s="212">
        <v>3</v>
      </c>
      <c r="G125" s="212">
        <v>4</v>
      </c>
      <c r="H125" s="212">
        <v>5</v>
      </c>
      <c r="I125" s="7">
        <v>6</v>
      </c>
      <c r="J125" s="7">
        <v>7</v>
      </c>
      <c r="K125" s="48">
        <v>8</v>
      </c>
      <c r="L125" s="209">
        <v>9</v>
      </c>
      <c r="M125" s="7">
        <v>10</v>
      </c>
      <c r="N125" s="209">
        <v>11</v>
      </c>
      <c r="O125" s="7">
        <v>12</v>
      </c>
      <c r="P125" s="209">
        <v>13</v>
      </c>
    </row>
    <row r="126" spans="1:16" ht="29.25" customHeight="1" thickBot="1">
      <c r="A126" s="106" t="s">
        <v>182</v>
      </c>
      <c r="B126" s="411" t="s">
        <v>183</v>
      </c>
      <c r="C126" s="412"/>
      <c r="D126" s="413"/>
      <c r="E126" s="31"/>
      <c r="F126" s="31"/>
      <c r="G126" s="74"/>
      <c r="H126" s="74"/>
      <c r="I126" s="74"/>
      <c r="J126" s="74"/>
      <c r="K126" s="94">
        <f aca="true" t="shared" si="12" ref="K126:K140">G126</f>
        <v>0</v>
      </c>
      <c r="L126" s="33">
        <f>0+K126</f>
        <v>0</v>
      </c>
      <c r="M126" s="34">
        <f aca="true" t="shared" si="13" ref="M126:N141">E126-K126</f>
        <v>0</v>
      </c>
      <c r="N126" s="35">
        <f t="shared" si="13"/>
        <v>0</v>
      </c>
      <c r="O126" s="64">
        <v>0</v>
      </c>
      <c r="P126" s="65">
        <v>0</v>
      </c>
    </row>
    <row r="127" spans="1:16" ht="39.75" customHeight="1" thickBot="1">
      <c r="A127" s="107" t="s">
        <v>184</v>
      </c>
      <c r="B127" s="426" t="s">
        <v>185</v>
      </c>
      <c r="C127" s="427"/>
      <c r="D127" s="428"/>
      <c r="E127" s="31"/>
      <c r="F127" s="31"/>
      <c r="G127" s="74"/>
      <c r="H127" s="74"/>
      <c r="I127" s="74"/>
      <c r="J127" s="74"/>
      <c r="K127" s="94">
        <f t="shared" si="12"/>
        <v>0</v>
      </c>
      <c r="L127" s="33">
        <f>0+K127</f>
        <v>0</v>
      </c>
      <c r="M127" s="34">
        <f t="shared" si="13"/>
        <v>0</v>
      </c>
      <c r="N127" s="35">
        <f t="shared" si="13"/>
        <v>0</v>
      </c>
      <c r="O127" s="64">
        <v>0</v>
      </c>
      <c r="P127" s="65">
        <v>0</v>
      </c>
    </row>
    <row r="128" spans="1:16" ht="45.75" thickBot="1">
      <c r="A128" s="108" t="s">
        <v>186</v>
      </c>
      <c r="B128" s="426" t="s">
        <v>187</v>
      </c>
      <c r="C128" s="427"/>
      <c r="D128" s="428"/>
      <c r="E128" s="31">
        <v>150000</v>
      </c>
      <c r="F128" s="31">
        <f>150000+E128</f>
        <v>300000</v>
      </c>
      <c r="G128" s="74"/>
      <c r="H128" s="74"/>
      <c r="I128" s="74"/>
      <c r="J128" s="74"/>
      <c r="K128" s="94">
        <f>I128+G128</f>
        <v>0</v>
      </c>
      <c r="L128" s="33">
        <f>371525.32+K128</f>
        <v>371525.32</v>
      </c>
      <c r="M128" s="34">
        <f t="shared" si="13"/>
        <v>150000</v>
      </c>
      <c r="N128" s="35">
        <f t="shared" si="13"/>
        <v>-71525.32</v>
      </c>
      <c r="O128" s="64">
        <v>0</v>
      </c>
      <c r="P128" s="65">
        <v>0</v>
      </c>
    </row>
    <row r="129" spans="1:16" ht="44.25" customHeight="1" thickBot="1">
      <c r="A129" s="108" t="s">
        <v>188</v>
      </c>
      <c r="B129" s="426" t="s">
        <v>189</v>
      </c>
      <c r="C129" s="427"/>
      <c r="D129" s="428"/>
      <c r="E129" s="31"/>
      <c r="F129" s="31">
        <f>0+E129</f>
        <v>0</v>
      </c>
      <c r="G129" s="74"/>
      <c r="H129" s="74"/>
      <c r="I129" s="74"/>
      <c r="J129" s="74"/>
      <c r="K129" s="94">
        <f>H129</f>
        <v>0</v>
      </c>
      <c r="L129" s="33">
        <f>0+K129</f>
        <v>0</v>
      </c>
      <c r="M129" s="34">
        <f t="shared" si="13"/>
        <v>0</v>
      </c>
      <c r="N129" s="35">
        <f t="shared" si="13"/>
        <v>0</v>
      </c>
      <c r="O129" s="64">
        <v>0</v>
      </c>
      <c r="P129" s="65">
        <v>0</v>
      </c>
    </row>
    <row r="130" spans="1:16" ht="38.25" customHeight="1" thickBot="1">
      <c r="A130" s="109" t="s">
        <v>190</v>
      </c>
      <c r="B130" s="426" t="s">
        <v>191</v>
      </c>
      <c r="C130" s="427"/>
      <c r="D130" s="428"/>
      <c r="E130" s="31"/>
      <c r="F130" s="31"/>
      <c r="G130" s="74">
        <v>3020</v>
      </c>
      <c r="H130" s="74"/>
      <c r="I130" s="74"/>
      <c r="J130" s="74"/>
      <c r="K130" s="94">
        <f>G130</f>
        <v>3020</v>
      </c>
      <c r="L130" s="33">
        <f>0+K130</f>
        <v>3020</v>
      </c>
      <c r="M130" s="34">
        <f t="shared" si="13"/>
        <v>-3020</v>
      </c>
      <c r="N130" s="35">
        <f t="shared" si="13"/>
        <v>-3020</v>
      </c>
      <c r="O130" s="64">
        <v>0</v>
      </c>
      <c r="P130" s="65">
        <v>0</v>
      </c>
    </row>
    <row r="131" spans="1:16" ht="41.25" customHeight="1" thickBot="1">
      <c r="A131" s="109" t="s">
        <v>192</v>
      </c>
      <c r="B131" s="494" t="s">
        <v>193</v>
      </c>
      <c r="C131" s="495"/>
      <c r="D131" s="496"/>
      <c r="E131" s="31"/>
      <c r="F131" s="31">
        <f>6000+E131</f>
        <v>6000</v>
      </c>
      <c r="G131" s="74"/>
      <c r="H131" s="74"/>
      <c r="I131" s="74"/>
      <c r="J131" s="74"/>
      <c r="K131" s="94">
        <f>G131+I131</f>
        <v>0</v>
      </c>
      <c r="L131" s="33">
        <f>0+K131</f>
        <v>0</v>
      </c>
      <c r="M131" s="34">
        <f t="shared" si="13"/>
        <v>0</v>
      </c>
      <c r="N131" s="35">
        <f t="shared" si="13"/>
        <v>6000</v>
      </c>
      <c r="O131" s="64">
        <v>0</v>
      </c>
      <c r="P131" s="65">
        <v>0</v>
      </c>
    </row>
    <row r="132" spans="1:19" ht="36.75" customHeight="1" thickBot="1">
      <c r="A132" s="110">
        <v>15</v>
      </c>
      <c r="B132" s="418" t="s">
        <v>194</v>
      </c>
      <c r="C132" s="418"/>
      <c r="D132" s="419"/>
      <c r="E132" s="73">
        <f>E133+E134</f>
        <v>90000</v>
      </c>
      <c r="F132" s="73">
        <f>F133</f>
        <v>130000</v>
      </c>
      <c r="G132" s="75">
        <f>G133+G134</f>
        <v>0</v>
      </c>
      <c r="H132" s="74"/>
      <c r="I132" s="74"/>
      <c r="J132" s="74"/>
      <c r="K132" s="93">
        <f t="shared" si="12"/>
        <v>0</v>
      </c>
      <c r="L132" s="55">
        <f>L133+L134</f>
        <v>13440.82</v>
      </c>
      <c r="M132" s="56">
        <f t="shared" si="13"/>
        <v>90000</v>
      </c>
      <c r="N132" s="70">
        <f t="shared" si="13"/>
        <v>116559.18</v>
      </c>
      <c r="O132" s="58">
        <v>0</v>
      </c>
      <c r="P132" s="59">
        <v>0</v>
      </c>
      <c r="Q132" s="1"/>
      <c r="R132" s="1"/>
      <c r="S132" s="1"/>
    </row>
    <row r="133" spans="1:19" ht="29.25" customHeight="1" thickBot="1">
      <c r="A133" s="60" t="s">
        <v>195</v>
      </c>
      <c r="B133" s="405" t="s">
        <v>53</v>
      </c>
      <c r="C133" s="406"/>
      <c r="D133" s="407"/>
      <c r="E133" s="155">
        <v>90000</v>
      </c>
      <c r="F133" s="31">
        <f>40000+E133</f>
        <v>130000</v>
      </c>
      <c r="G133" s="74"/>
      <c r="H133" s="74"/>
      <c r="I133" s="74"/>
      <c r="J133" s="74"/>
      <c r="K133" s="94">
        <f t="shared" si="12"/>
        <v>0</v>
      </c>
      <c r="L133" s="33">
        <f>13440.82+K133</f>
        <v>13440.82</v>
      </c>
      <c r="M133" s="34">
        <f t="shared" si="13"/>
        <v>90000</v>
      </c>
      <c r="N133" s="35">
        <f t="shared" si="13"/>
        <v>116559.18</v>
      </c>
      <c r="O133" s="64">
        <v>0</v>
      </c>
      <c r="P133" s="65">
        <v>0</v>
      </c>
      <c r="Q133" s="1"/>
      <c r="R133" s="1"/>
      <c r="S133" s="1"/>
    </row>
    <row r="134" spans="1:19" ht="32.25" customHeight="1" thickBot="1">
      <c r="A134" s="60" t="s">
        <v>196</v>
      </c>
      <c r="B134" s="405" t="s">
        <v>104</v>
      </c>
      <c r="C134" s="406"/>
      <c r="D134" s="407"/>
      <c r="E134" s="61"/>
      <c r="F134" s="31"/>
      <c r="G134" s="74"/>
      <c r="H134" s="74"/>
      <c r="I134" s="74"/>
      <c r="J134" s="74"/>
      <c r="K134" s="94">
        <f t="shared" si="12"/>
        <v>0</v>
      </c>
      <c r="L134" s="33">
        <f>0+K134</f>
        <v>0</v>
      </c>
      <c r="M134" s="34">
        <f t="shared" si="13"/>
        <v>0</v>
      </c>
      <c r="N134" s="35">
        <f t="shared" si="13"/>
        <v>0</v>
      </c>
      <c r="O134" s="64">
        <v>0</v>
      </c>
      <c r="P134" s="65">
        <v>0</v>
      </c>
      <c r="Q134" s="1"/>
      <c r="R134" s="1"/>
      <c r="S134" s="1"/>
    </row>
    <row r="135" spans="1:19" ht="31.5" customHeight="1" thickBot="1">
      <c r="A135" s="111">
        <v>16</v>
      </c>
      <c r="B135" s="418" t="s">
        <v>197</v>
      </c>
      <c r="C135" s="418"/>
      <c r="D135" s="419"/>
      <c r="E135" s="31">
        <v>0</v>
      </c>
      <c r="F135" s="73">
        <f>F136</f>
        <v>0</v>
      </c>
      <c r="G135" s="75">
        <f>G136+G137</f>
        <v>0</v>
      </c>
      <c r="H135" s="74"/>
      <c r="I135" s="74"/>
      <c r="J135" s="74"/>
      <c r="K135" s="93">
        <f t="shared" si="12"/>
        <v>0</v>
      </c>
      <c r="L135" s="55">
        <f>0+K135</f>
        <v>0</v>
      </c>
      <c r="M135" s="56">
        <f t="shared" si="13"/>
        <v>0</v>
      </c>
      <c r="N135" s="70">
        <f t="shared" si="13"/>
        <v>0</v>
      </c>
      <c r="O135" s="58">
        <v>0</v>
      </c>
      <c r="P135" s="59">
        <v>0</v>
      </c>
      <c r="Q135" s="1"/>
      <c r="R135" s="1"/>
      <c r="S135" s="1"/>
    </row>
    <row r="136" spans="1:19" ht="34.5" customHeight="1" thickBot="1">
      <c r="A136" s="60" t="s">
        <v>198</v>
      </c>
      <c r="B136" s="405" t="s">
        <v>53</v>
      </c>
      <c r="C136" s="406"/>
      <c r="D136" s="407"/>
      <c r="E136" s="61"/>
      <c r="F136" s="31">
        <v>0</v>
      </c>
      <c r="G136" s="74"/>
      <c r="H136" s="74"/>
      <c r="I136" s="74"/>
      <c r="J136" s="74"/>
      <c r="K136" s="94">
        <f t="shared" si="12"/>
        <v>0</v>
      </c>
      <c r="L136" s="33">
        <f>0+K136</f>
        <v>0</v>
      </c>
      <c r="M136" s="34">
        <f t="shared" si="13"/>
        <v>0</v>
      </c>
      <c r="N136" s="35">
        <f t="shared" si="13"/>
        <v>0</v>
      </c>
      <c r="O136" s="64">
        <v>0</v>
      </c>
      <c r="P136" s="65">
        <v>0</v>
      </c>
      <c r="Q136" s="1"/>
      <c r="R136" s="1"/>
      <c r="S136" s="1"/>
    </row>
    <row r="137" spans="1:19" ht="41.25" customHeight="1" thickBot="1">
      <c r="A137" s="60" t="s">
        <v>199</v>
      </c>
      <c r="B137" s="405" t="s">
        <v>104</v>
      </c>
      <c r="C137" s="406"/>
      <c r="D137" s="407"/>
      <c r="E137" s="61"/>
      <c r="F137" s="31"/>
      <c r="G137" s="74"/>
      <c r="H137" s="74"/>
      <c r="I137" s="74"/>
      <c r="J137" s="74"/>
      <c r="K137" s="94">
        <f t="shared" si="12"/>
        <v>0</v>
      </c>
      <c r="L137" s="33">
        <f>0+K137</f>
        <v>0</v>
      </c>
      <c r="M137" s="34">
        <f t="shared" si="13"/>
        <v>0</v>
      </c>
      <c r="N137" s="35">
        <f t="shared" si="13"/>
        <v>0</v>
      </c>
      <c r="O137" s="64">
        <v>0</v>
      </c>
      <c r="P137" s="65">
        <v>0</v>
      </c>
      <c r="Q137" s="1"/>
      <c r="R137" s="1"/>
      <c r="S137" s="1"/>
    </row>
    <row r="138" spans="1:19" ht="47.25" customHeight="1" thickBot="1">
      <c r="A138" s="110">
        <v>17</v>
      </c>
      <c r="B138" s="418" t="s">
        <v>200</v>
      </c>
      <c r="C138" s="418"/>
      <c r="D138" s="419"/>
      <c r="E138" s="73">
        <v>0</v>
      </c>
      <c r="F138" s="73">
        <f>F139</f>
        <v>5504</v>
      </c>
      <c r="G138" s="75">
        <f>G139+G140</f>
        <v>0</v>
      </c>
      <c r="H138" s="75"/>
      <c r="I138" s="75"/>
      <c r="J138" s="75"/>
      <c r="K138" s="93">
        <f t="shared" si="12"/>
        <v>0</v>
      </c>
      <c r="L138" s="55">
        <f>L139</f>
        <v>23504</v>
      </c>
      <c r="M138" s="56">
        <f t="shared" si="13"/>
        <v>0</v>
      </c>
      <c r="N138" s="70">
        <f t="shared" si="13"/>
        <v>-18000</v>
      </c>
      <c r="O138" s="58">
        <v>0</v>
      </c>
      <c r="P138" s="59">
        <v>0</v>
      </c>
      <c r="Q138" s="1"/>
      <c r="R138" s="1"/>
      <c r="S138" s="1"/>
    </row>
    <row r="139" spans="1:19" ht="27" customHeight="1" thickBot="1">
      <c r="A139" s="60" t="s">
        <v>201</v>
      </c>
      <c r="B139" s="405" t="s">
        <v>53</v>
      </c>
      <c r="C139" s="406"/>
      <c r="D139" s="407"/>
      <c r="E139" s="61"/>
      <c r="F139" s="31">
        <f>5504+E139</f>
        <v>5504</v>
      </c>
      <c r="G139" s="74"/>
      <c r="H139" s="74"/>
      <c r="I139" s="74"/>
      <c r="J139" s="74"/>
      <c r="K139" s="94">
        <f t="shared" si="12"/>
        <v>0</v>
      </c>
      <c r="L139" s="33">
        <f>23504+K139</f>
        <v>23504</v>
      </c>
      <c r="M139" s="34">
        <f t="shared" si="13"/>
        <v>0</v>
      </c>
      <c r="N139" s="35">
        <f t="shared" si="13"/>
        <v>-18000</v>
      </c>
      <c r="O139" s="64">
        <v>0</v>
      </c>
      <c r="P139" s="65">
        <v>0</v>
      </c>
      <c r="Q139" s="1"/>
      <c r="R139" s="1"/>
      <c r="S139" s="1"/>
    </row>
    <row r="140" spans="1:19" ht="29.25" customHeight="1" thickBot="1">
      <c r="A140" s="60" t="s">
        <v>202</v>
      </c>
      <c r="B140" s="405" t="s">
        <v>104</v>
      </c>
      <c r="C140" s="406"/>
      <c r="D140" s="407"/>
      <c r="E140" s="61"/>
      <c r="F140" s="31"/>
      <c r="G140" s="74"/>
      <c r="H140" s="74"/>
      <c r="I140" s="74"/>
      <c r="J140" s="74"/>
      <c r="K140" s="94">
        <f t="shared" si="12"/>
        <v>0</v>
      </c>
      <c r="L140" s="33">
        <f>0+K140</f>
        <v>0</v>
      </c>
      <c r="M140" s="34">
        <f t="shared" si="13"/>
        <v>0</v>
      </c>
      <c r="N140" s="35">
        <f t="shared" si="13"/>
        <v>0</v>
      </c>
      <c r="O140" s="64">
        <v>0</v>
      </c>
      <c r="P140" s="65">
        <v>0</v>
      </c>
      <c r="Q140" s="1"/>
      <c r="R140" s="1"/>
      <c r="S140" s="1"/>
    </row>
    <row r="141" spans="1:19" ht="22.5" customHeight="1" thickBot="1">
      <c r="A141" s="110">
        <v>18</v>
      </c>
      <c r="B141" s="424" t="s">
        <v>42</v>
      </c>
      <c r="C141" s="424"/>
      <c r="D141" s="425"/>
      <c r="E141" s="31">
        <v>0</v>
      </c>
      <c r="F141" s="31"/>
      <c r="G141" s="74"/>
      <c r="H141" s="74"/>
      <c r="I141" s="74"/>
      <c r="J141" s="75"/>
      <c r="K141" s="93">
        <f>J141</f>
        <v>0</v>
      </c>
      <c r="L141" s="55">
        <f>732805.62+K141</f>
        <v>732805.62</v>
      </c>
      <c r="M141" s="56">
        <f>E141-K141</f>
        <v>0</v>
      </c>
      <c r="N141" s="70">
        <f t="shared" si="13"/>
        <v>-732805.62</v>
      </c>
      <c r="O141" s="58">
        <v>0</v>
      </c>
      <c r="P141" s="59">
        <v>0</v>
      </c>
      <c r="Q141" s="1"/>
      <c r="R141" s="1"/>
      <c r="S141" s="1"/>
    </row>
    <row r="142" spans="1:19" ht="59.25" customHeight="1" thickBot="1">
      <c r="A142" s="112"/>
      <c r="B142" s="488" t="s">
        <v>203</v>
      </c>
      <c r="C142" s="488"/>
      <c r="D142" s="488"/>
      <c r="E142" s="488"/>
      <c r="F142" s="113"/>
      <c r="G142" s="113" t="s">
        <v>4</v>
      </c>
      <c r="H142" s="205" t="s">
        <v>5</v>
      </c>
      <c r="I142" s="338" t="s">
        <v>6</v>
      </c>
      <c r="J142" s="339"/>
      <c r="K142" s="8" t="s">
        <v>11</v>
      </c>
      <c r="L142" s="7" t="s">
        <v>8</v>
      </c>
      <c r="M142" s="7" t="s">
        <v>9</v>
      </c>
      <c r="N142" s="115" t="s">
        <v>10</v>
      </c>
      <c r="O142" s="116"/>
      <c r="P142" s="208"/>
      <c r="Q142" s="1"/>
      <c r="R142" s="1"/>
      <c r="S142" s="1"/>
    </row>
    <row r="143" spans="1:19" ht="23.25" customHeight="1" thickBot="1">
      <c r="A143" s="118"/>
      <c r="B143" s="488" t="s">
        <v>12</v>
      </c>
      <c r="C143" s="488"/>
      <c r="D143" s="488"/>
      <c r="E143" s="489"/>
      <c r="F143" s="119"/>
      <c r="G143" s="119">
        <v>0</v>
      </c>
      <c r="H143" s="4">
        <v>0</v>
      </c>
      <c r="I143" s="330">
        <v>0</v>
      </c>
      <c r="J143" s="331"/>
      <c r="K143" s="120"/>
      <c r="L143" s="4">
        <v>0</v>
      </c>
      <c r="M143" s="206">
        <v>0</v>
      </c>
      <c r="N143" s="206">
        <v>0</v>
      </c>
      <c r="O143" s="4"/>
      <c r="P143" s="4">
        <v>0</v>
      </c>
      <c r="Q143" s="1"/>
      <c r="R143" s="1"/>
      <c r="S143" s="1"/>
    </row>
    <row r="144" spans="1:19" ht="27" customHeight="1" thickBot="1">
      <c r="A144" s="112"/>
      <c r="B144" s="488" t="s">
        <v>13</v>
      </c>
      <c r="C144" s="488"/>
      <c r="D144" s="488"/>
      <c r="E144" s="489"/>
      <c r="F144" s="4"/>
      <c r="G144" s="4">
        <f>F10+G17-G32-G36-G40-G45-G55-G65-G68-G72-G75-G79-G89-G102-G133-G136-G139-G81</f>
        <v>-482171.28</v>
      </c>
      <c r="H144" s="4">
        <f>G18+H10-H29</f>
        <v>352383.59999999986</v>
      </c>
      <c r="I144" s="330">
        <f>I10+G19-I104-I66-I97-I76</f>
        <v>0</v>
      </c>
      <c r="J144" s="331"/>
      <c r="K144" s="120">
        <f>O10+G22-J54</f>
        <v>86140.05</v>
      </c>
      <c r="L144" s="4">
        <f>L10+G23-J141</f>
        <v>155204.92</v>
      </c>
      <c r="M144" s="206">
        <v>0</v>
      </c>
      <c r="N144" s="4">
        <v>0</v>
      </c>
      <c r="O144" s="121"/>
      <c r="P144" s="4">
        <f>SUM(G144:O144)</f>
        <v>111557.28999999985</v>
      </c>
      <c r="Q144" s="1"/>
      <c r="R144" s="80">
        <f>P5+L16-L29</f>
        <v>111557.29000000097</v>
      </c>
      <c r="S144" s="37"/>
    </row>
    <row r="145" spans="1:19" ht="24.75" customHeight="1" thickBot="1">
      <c r="A145" s="122"/>
      <c r="B145" s="323" t="s">
        <v>228</v>
      </c>
      <c r="C145" s="323"/>
      <c r="D145" s="323"/>
      <c r="E145" s="324"/>
      <c r="F145" s="325"/>
      <c r="G145" s="325"/>
      <c r="H145" s="325"/>
      <c r="I145" s="325"/>
      <c r="J145" s="325"/>
      <c r="K145" s="325"/>
      <c r="L145" s="325"/>
      <c r="M145" s="325"/>
      <c r="N145" s="484"/>
      <c r="O145" s="485"/>
      <c r="P145" s="123">
        <f>P144</f>
        <v>111557.28999999985</v>
      </c>
      <c r="Q145" s="1"/>
      <c r="R145" s="37">
        <f>P5+L16-L29</f>
        <v>111557.29000000097</v>
      </c>
      <c r="S145" s="37"/>
    </row>
    <row r="146" spans="1:19" ht="15">
      <c r="A146" s="1"/>
      <c r="B146" s="124"/>
      <c r="C146" s="124"/>
      <c r="D146" s="124"/>
      <c r="E146" s="124"/>
      <c r="F146" s="125"/>
      <c r="G146" s="125"/>
      <c r="H146" s="125"/>
      <c r="I146" s="125"/>
      <c r="J146" s="125"/>
      <c r="K146" s="126"/>
      <c r="L146" s="125"/>
      <c r="M146" s="125"/>
      <c r="N146" s="125"/>
      <c r="O146" s="127"/>
      <c r="P146" s="128"/>
      <c r="Q146" s="1"/>
      <c r="R146" s="37"/>
      <c r="S146" s="1"/>
    </row>
    <row r="147" spans="1:19" ht="15">
      <c r="A147" s="1"/>
      <c r="B147" s="486" t="s">
        <v>204</v>
      </c>
      <c r="C147" s="486"/>
      <c r="D147" s="486"/>
      <c r="E147" s="486"/>
      <c r="F147" s="486"/>
      <c r="G147" s="486"/>
      <c r="H147" s="486"/>
      <c r="I147" s="486"/>
      <c r="J147" s="486"/>
      <c r="K147" s="486"/>
      <c r="L147" s="486"/>
      <c r="M147" s="486"/>
      <c r="N147" s="486"/>
      <c r="O147" s="487" t="s">
        <v>205</v>
      </c>
      <c r="P147" s="487"/>
      <c r="Q147" s="1"/>
      <c r="R147" s="80"/>
      <c r="S147" s="37"/>
    </row>
    <row r="148" spans="1:19" ht="15">
      <c r="A148" s="1"/>
      <c r="B148" s="486" t="s">
        <v>206</v>
      </c>
      <c r="C148" s="486"/>
      <c r="D148" s="486"/>
      <c r="E148" s="486"/>
      <c r="F148" s="486"/>
      <c r="G148" s="486"/>
      <c r="H148" s="486"/>
      <c r="I148" s="486"/>
      <c r="J148" s="486"/>
      <c r="K148" s="486"/>
      <c r="L148" s="486"/>
      <c r="M148" s="486"/>
      <c r="N148" s="486"/>
      <c r="O148" s="486" t="s">
        <v>207</v>
      </c>
      <c r="P148" s="486"/>
      <c r="Q148" s="1"/>
      <c r="R148" s="1"/>
      <c r="S148" s="1"/>
    </row>
    <row r="149" spans="1:19" ht="15">
      <c r="A149" s="1"/>
      <c r="B149" s="203"/>
      <c r="C149" s="203"/>
      <c r="D149" s="203"/>
      <c r="E149" s="203"/>
      <c r="F149" s="203"/>
      <c r="G149" s="203"/>
      <c r="H149" s="203"/>
      <c r="I149" s="203"/>
      <c r="J149" s="130"/>
      <c r="K149" s="131"/>
      <c r="L149" s="130"/>
      <c r="M149" s="203"/>
      <c r="N149" s="203"/>
      <c r="O149" s="203"/>
      <c r="P149" s="130"/>
      <c r="Q149" s="1"/>
      <c r="R149" s="37"/>
      <c r="S149" s="1"/>
    </row>
    <row r="151" spans="1:19" ht="15">
      <c r="A151" s="1"/>
      <c r="B151" s="1"/>
      <c r="C151" s="1"/>
      <c r="D151" s="1"/>
      <c r="E151" s="1"/>
      <c r="F151" s="1"/>
      <c r="G151" s="1"/>
      <c r="H151" s="1"/>
      <c r="I151" s="132"/>
      <c r="J151" s="1"/>
      <c r="K151" s="1"/>
      <c r="L151" s="1"/>
      <c r="M151" s="1"/>
      <c r="N151" s="1"/>
      <c r="O151" s="1"/>
      <c r="P151" s="1"/>
      <c r="Q151" s="1"/>
      <c r="R151" s="37"/>
      <c r="S151" s="1"/>
    </row>
    <row r="152" spans="1:19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37"/>
      <c r="S152" s="1"/>
    </row>
    <row r="153" spans="1:19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7"/>
      <c r="O153" s="1"/>
      <c r="P153" s="1"/>
      <c r="Q153" s="1"/>
      <c r="R153" s="1"/>
      <c r="S153" s="1"/>
    </row>
    <row r="154" spans="12:16" ht="15">
      <c r="L154" s="1"/>
      <c r="M154" s="1"/>
      <c r="N154" s="37"/>
      <c r="O154" s="1"/>
      <c r="P154" s="37"/>
    </row>
    <row r="155" spans="12:16" ht="15">
      <c r="L155" s="1"/>
      <c r="M155" s="1"/>
      <c r="N155" s="133"/>
      <c r="O155" s="1"/>
      <c r="P155" s="37"/>
    </row>
    <row r="156" spans="12:16" ht="15">
      <c r="L156" s="37"/>
      <c r="M156" s="1"/>
      <c r="N156" s="1"/>
      <c r="O156" s="1"/>
      <c r="P156" s="1"/>
    </row>
    <row r="157" spans="12:16" ht="15">
      <c r="L157" s="37"/>
      <c r="M157" s="37"/>
      <c r="N157" s="1"/>
      <c r="O157" s="1"/>
      <c r="P157" s="1"/>
    </row>
  </sheetData>
  <sheetProtection/>
  <mergeCells count="203">
    <mergeCell ref="B145:E145"/>
    <mergeCell ref="F145:O145"/>
    <mergeCell ref="B147:E147"/>
    <mergeCell ref="F147:N147"/>
    <mergeCell ref="O147:P147"/>
    <mergeCell ref="B148:E148"/>
    <mergeCell ref="F148:N148"/>
    <mergeCell ref="O148:P148"/>
    <mergeCell ref="B141:D141"/>
    <mergeCell ref="B142:E142"/>
    <mergeCell ref="I142:J142"/>
    <mergeCell ref="B143:E143"/>
    <mergeCell ref="I143:J143"/>
    <mergeCell ref="B144:E144"/>
    <mergeCell ref="I144:J144"/>
    <mergeCell ref="B135:D135"/>
    <mergeCell ref="B136:D136"/>
    <mergeCell ref="B137:D137"/>
    <mergeCell ref="B138:D138"/>
    <mergeCell ref="B139:D139"/>
    <mergeCell ref="B140:D140"/>
    <mergeCell ref="B129:D129"/>
    <mergeCell ref="B130:D130"/>
    <mergeCell ref="B131:D131"/>
    <mergeCell ref="B132:D132"/>
    <mergeCell ref="B133:D133"/>
    <mergeCell ref="B134:D134"/>
    <mergeCell ref="O123:O124"/>
    <mergeCell ref="P123:P124"/>
    <mergeCell ref="B125:D125"/>
    <mergeCell ref="B126:D126"/>
    <mergeCell ref="B127:D127"/>
    <mergeCell ref="B128:D128"/>
    <mergeCell ref="B119:D119"/>
    <mergeCell ref="B120:D120"/>
    <mergeCell ref="B121:P122"/>
    <mergeCell ref="B123:D124"/>
    <mergeCell ref="E123:E124"/>
    <mergeCell ref="F123:F124"/>
    <mergeCell ref="G123:K123"/>
    <mergeCell ref="L123:L124"/>
    <mergeCell ref="M123:M124"/>
    <mergeCell ref="N123:N124"/>
    <mergeCell ref="B113:D113"/>
    <mergeCell ref="B114:D114"/>
    <mergeCell ref="B115:D115"/>
    <mergeCell ref="B116:D116"/>
    <mergeCell ref="B117:D117"/>
    <mergeCell ref="B118:D118"/>
    <mergeCell ref="B107:D107"/>
    <mergeCell ref="B108:D108"/>
    <mergeCell ref="B109:D109"/>
    <mergeCell ref="B110:D110"/>
    <mergeCell ref="B111:D111"/>
    <mergeCell ref="B112:D112"/>
    <mergeCell ref="B101:D101"/>
    <mergeCell ref="B102:D102"/>
    <mergeCell ref="B103:D103"/>
    <mergeCell ref="B104:D104"/>
    <mergeCell ref="B105:D105"/>
    <mergeCell ref="B106:D106"/>
    <mergeCell ref="B95:D95"/>
    <mergeCell ref="B96:D96"/>
    <mergeCell ref="B97:D97"/>
    <mergeCell ref="B98:D98"/>
    <mergeCell ref="B99:D99"/>
    <mergeCell ref="B100:D100"/>
    <mergeCell ref="B89:D89"/>
    <mergeCell ref="B90:D90"/>
    <mergeCell ref="B91:D91"/>
    <mergeCell ref="B92:D92"/>
    <mergeCell ref="B93:D93"/>
    <mergeCell ref="B94:D94"/>
    <mergeCell ref="M85:M86"/>
    <mergeCell ref="N85:N86"/>
    <mergeCell ref="O85:O86"/>
    <mergeCell ref="P85:P86"/>
    <mergeCell ref="B87:D87"/>
    <mergeCell ref="B88:D88"/>
    <mergeCell ref="A85:A86"/>
    <mergeCell ref="B85:D86"/>
    <mergeCell ref="E85:E86"/>
    <mergeCell ref="F85:F86"/>
    <mergeCell ref="G85:K85"/>
    <mergeCell ref="L85:L86"/>
    <mergeCell ref="B79:D79"/>
    <mergeCell ref="B80:D80"/>
    <mergeCell ref="B81:D81"/>
    <mergeCell ref="B82:D82"/>
    <mergeCell ref="A83:A84"/>
    <mergeCell ref="B83:P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2:D42"/>
    <mergeCell ref="B43:D43"/>
    <mergeCell ref="B44:D44"/>
    <mergeCell ref="B45:D45"/>
    <mergeCell ref="B46:D46"/>
    <mergeCell ref="B48:D48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M26:M27"/>
    <mergeCell ref="N26:N27"/>
    <mergeCell ref="O26:O27"/>
    <mergeCell ref="P26:P27"/>
    <mergeCell ref="B28:D28"/>
    <mergeCell ref="B29:D29"/>
    <mergeCell ref="B23:D23"/>
    <mergeCell ref="G23:J23"/>
    <mergeCell ref="A24:A25"/>
    <mergeCell ref="B24:P25"/>
    <mergeCell ref="A26:A27"/>
    <mergeCell ref="B26:D27"/>
    <mergeCell ref="E26:E27"/>
    <mergeCell ref="F26:F27"/>
    <mergeCell ref="G26:K26"/>
    <mergeCell ref="L26:L27"/>
    <mergeCell ref="B20:D20"/>
    <mergeCell ref="G20:J20"/>
    <mergeCell ref="B21:D21"/>
    <mergeCell ref="G21:J21"/>
    <mergeCell ref="B22:D22"/>
    <mergeCell ref="G22:J22"/>
    <mergeCell ref="B17:D17"/>
    <mergeCell ref="G17:J17"/>
    <mergeCell ref="B18:D18"/>
    <mergeCell ref="G18:J18"/>
    <mergeCell ref="B19:D19"/>
    <mergeCell ref="G19:J19"/>
    <mergeCell ref="P12:P13"/>
    <mergeCell ref="B14:D14"/>
    <mergeCell ref="G14:J14"/>
    <mergeCell ref="A15:A16"/>
    <mergeCell ref="B15:D16"/>
    <mergeCell ref="G15:J15"/>
    <mergeCell ref="G16:J16"/>
    <mergeCell ref="B11:E11"/>
    <mergeCell ref="F11:P11"/>
    <mergeCell ref="A12:A13"/>
    <mergeCell ref="B12:E13"/>
    <mergeCell ref="F12:F13"/>
    <mergeCell ref="G12:K13"/>
    <mergeCell ref="L12:L13"/>
    <mergeCell ref="M12:M13"/>
    <mergeCell ref="N12:N13"/>
    <mergeCell ref="O12:O13"/>
    <mergeCell ref="B10:E10"/>
    <mergeCell ref="F10:G10"/>
    <mergeCell ref="I10:J10"/>
    <mergeCell ref="B6:E6"/>
    <mergeCell ref="F6:O6"/>
    <mergeCell ref="B7:E7"/>
    <mergeCell ref="F7:P7"/>
    <mergeCell ref="B8:E8"/>
    <mergeCell ref="F8:G8"/>
    <mergeCell ref="I8:J8"/>
    <mergeCell ref="B1:P1"/>
    <mergeCell ref="B2:P2"/>
    <mergeCell ref="B3:P3"/>
    <mergeCell ref="B4:P4"/>
    <mergeCell ref="B5:E5"/>
    <mergeCell ref="F5:O5"/>
    <mergeCell ref="B9:E9"/>
    <mergeCell ref="F9:G9"/>
    <mergeCell ref="I9:J9"/>
  </mergeCells>
  <printOptions/>
  <pageMargins left="0" right="0" top="0" bottom="0" header="0.31496062992125984" footer="0.31496062992125984"/>
  <pageSetup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57"/>
  <sheetViews>
    <sheetView zoomScalePageLayoutView="0" workbookViewId="0" topLeftCell="A127">
      <selection activeCell="J59" sqref="J59"/>
    </sheetView>
  </sheetViews>
  <sheetFormatPr defaultColWidth="9.140625" defaultRowHeight="15"/>
  <cols>
    <col min="1" max="1" width="3.28125" style="2" customWidth="1"/>
    <col min="2" max="3" width="9.140625" style="2" customWidth="1"/>
    <col min="4" max="4" width="4.140625" style="2" customWidth="1"/>
    <col min="5" max="5" width="11.140625" style="2" customWidth="1"/>
    <col min="6" max="6" width="13.8515625" style="2" customWidth="1"/>
    <col min="7" max="7" width="12.7109375" style="2" customWidth="1"/>
    <col min="8" max="8" width="11.00390625" style="2" customWidth="1"/>
    <col min="9" max="9" width="7.00390625" style="2" customWidth="1"/>
    <col min="10" max="10" width="11.140625" style="2" customWidth="1"/>
    <col min="11" max="11" width="12.7109375" style="2" customWidth="1"/>
    <col min="12" max="12" width="13.8515625" style="2" customWidth="1"/>
    <col min="13" max="13" width="13.7109375" style="2" customWidth="1"/>
    <col min="14" max="14" width="13.421875" style="2" customWidth="1"/>
    <col min="15" max="15" width="8.421875" style="2" customWidth="1"/>
    <col min="16" max="16" width="9.28125" style="2" customWidth="1"/>
    <col min="17" max="17" width="9.140625" style="2" customWidth="1"/>
    <col min="18" max="18" width="11.7109375" style="2" customWidth="1"/>
    <col min="19" max="19" width="11.140625" style="2" bestFit="1" customWidth="1"/>
    <col min="20" max="16384" width="9.140625" style="2" customWidth="1"/>
  </cols>
  <sheetData>
    <row r="1" spans="1:16" ht="15">
      <c r="A1" s="1"/>
      <c r="B1" s="318" t="s">
        <v>0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</row>
    <row r="2" spans="1:16" ht="15">
      <c r="A2" s="1"/>
      <c r="B2" s="319" t="s">
        <v>230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</row>
    <row r="3" spans="1:16" ht="15.75" thickBot="1">
      <c r="A3" s="1"/>
      <c r="B3" s="320" t="s">
        <v>1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</row>
    <row r="4" spans="1:16" ht="15.75" thickBot="1">
      <c r="A4" s="1"/>
      <c r="B4" s="321" t="s">
        <v>2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</row>
    <row r="5" spans="1:16" ht="24" customHeight="1" thickBot="1">
      <c r="A5" s="3"/>
      <c r="B5" s="322" t="s">
        <v>209</v>
      </c>
      <c r="C5" s="323"/>
      <c r="D5" s="323"/>
      <c r="E5" s="324"/>
      <c r="F5" s="325"/>
      <c r="G5" s="325"/>
      <c r="H5" s="325"/>
      <c r="I5" s="325"/>
      <c r="J5" s="325"/>
      <c r="K5" s="325"/>
      <c r="L5" s="325"/>
      <c r="M5" s="325"/>
      <c r="N5" s="325"/>
      <c r="O5" s="326"/>
      <c r="P5" s="4">
        <v>9380.24</v>
      </c>
    </row>
    <row r="6" spans="1:16" ht="21.75" customHeight="1" thickBot="1">
      <c r="A6" s="3"/>
      <c r="B6" s="322" t="s">
        <v>229</v>
      </c>
      <c r="C6" s="323"/>
      <c r="D6" s="323"/>
      <c r="E6" s="324"/>
      <c r="F6" s="325"/>
      <c r="G6" s="325"/>
      <c r="H6" s="325"/>
      <c r="I6" s="325"/>
      <c r="J6" s="325"/>
      <c r="K6" s="325"/>
      <c r="L6" s="325"/>
      <c r="M6" s="325"/>
      <c r="N6" s="325"/>
      <c r="O6" s="326"/>
      <c r="P6" s="221">
        <f>P10</f>
        <v>111557.28999999996</v>
      </c>
    </row>
    <row r="7" spans="1:16" ht="15.75" thickBot="1">
      <c r="A7" s="3"/>
      <c r="B7" s="332"/>
      <c r="C7" s="333"/>
      <c r="D7" s="333"/>
      <c r="E7" s="334"/>
      <c r="F7" s="335"/>
      <c r="G7" s="335"/>
      <c r="H7" s="335"/>
      <c r="I7" s="335"/>
      <c r="J7" s="335"/>
      <c r="K7" s="335"/>
      <c r="L7" s="335"/>
      <c r="M7" s="335"/>
      <c r="N7" s="336"/>
      <c r="O7" s="336"/>
      <c r="P7" s="337"/>
    </row>
    <row r="8" spans="1:16" ht="75.75" thickBot="1">
      <c r="A8" s="6"/>
      <c r="B8" s="322" t="s">
        <v>3</v>
      </c>
      <c r="C8" s="323"/>
      <c r="D8" s="323"/>
      <c r="E8" s="324"/>
      <c r="F8" s="338" t="s">
        <v>4</v>
      </c>
      <c r="G8" s="339"/>
      <c r="H8" s="7" t="s">
        <v>5</v>
      </c>
      <c r="I8" s="338" t="s">
        <v>6</v>
      </c>
      <c r="J8" s="339"/>
      <c r="K8" s="8" t="s">
        <v>7</v>
      </c>
      <c r="L8" s="7" t="s">
        <v>8</v>
      </c>
      <c r="M8" s="218" t="s">
        <v>9</v>
      </c>
      <c r="N8" s="224" t="s">
        <v>10</v>
      </c>
      <c r="O8" s="11" t="s">
        <v>11</v>
      </c>
      <c r="P8" s="12"/>
    </row>
    <row r="9" spans="1:16" ht="21.75" customHeight="1" thickBot="1">
      <c r="A9" s="3"/>
      <c r="B9" s="327" t="s">
        <v>12</v>
      </c>
      <c r="C9" s="328"/>
      <c r="D9" s="328"/>
      <c r="E9" s="329"/>
      <c r="F9" s="330">
        <v>0</v>
      </c>
      <c r="G9" s="331"/>
      <c r="H9" s="4">
        <v>0</v>
      </c>
      <c r="I9" s="330">
        <v>0</v>
      </c>
      <c r="J9" s="331"/>
      <c r="K9" s="13">
        <v>0</v>
      </c>
      <c r="L9" s="4">
        <v>0</v>
      </c>
      <c r="M9" s="220">
        <v>0</v>
      </c>
      <c r="N9" s="4">
        <v>0</v>
      </c>
      <c r="O9" s="15">
        <v>0</v>
      </c>
      <c r="P9" s="221">
        <v>0</v>
      </c>
    </row>
    <row r="10" spans="1:16" ht="28.5" customHeight="1" thickBot="1">
      <c r="A10" s="3"/>
      <c r="B10" s="327" t="s">
        <v>13</v>
      </c>
      <c r="C10" s="328"/>
      <c r="D10" s="328"/>
      <c r="E10" s="329"/>
      <c r="F10" s="330">
        <v>-482171.28</v>
      </c>
      <c r="G10" s="331"/>
      <c r="H10" s="4">
        <v>352383.6</v>
      </c>
      <c r="I10" s="330">
        <v>0</v>
      </c>
      <c r="J10" s="331"/>
      <c r="K10" s="13">
        <v>0</v>
      </c>
      <c r="L10" s="4">
        <v>155204.92</v>
      </c>
      <c r="M10" s="220">
        <v>0</v>
      </c>
      <c r="N10" s="4">
        <v>0</v>
      </c>
      <c r="O10" s="4">
        <v>86140.05</v>
      </c>
      <c r="P10" s="221">
        <f>SUM(F10:O10)</f>
        <v>111557.28999999996</v>
      </c>
    </row>
    <row r="11" spans="1:16" ht="15.75" thickBot="1">
      <c r="A11" s="228"/>
      <c r="B11" s="360"/>
      <c r="C11" s="361"/>
      <c r="D11" s="361"/>
      <c r="E11" s="361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3"/>
    </row>
    <row r="12" spans="1:16" ht="15">
      <c r="A12" s="346"/>
      <c r="B12" s="364" t="s">
        <v>14</v>
      </c>
      <c r="C12" s="365"/>
      <c r="D12" s="365"/>
      <c r="E12" s="366"/>
      <c r="F12" s="340"/>
      <c r="G12" s="370" t="s">
        <v>15</v>
      </c>
      <c r="H12" s="362"/>
      <c r="I12" s="362"/>
      <c r="J12" s="362"/>
      <c r="K12" s="363"/>
      <c r="L12" s="340" t="s">
        <v>16</v>
      </c>
      <c r="M12" s="340" t="s">
        <v>17</v>
      </c>
      <c r="N12" s="340" t="s">
        <v>18</v>
      </c>
      <c r="O12" s="340" t="s">
        <v>19</v>
      </c>
      <c r="P12" s="340" t="s">
        <v>20</v>
      </c>
    </row>
    <row r="13" spans="1:16" ht="15.75" thickBot="1">
      <c r="A13" s="347"/>
      <c r="B13" s="367"/>
      <c r="C13" s="368"/>
      <c r="D13" s="368"/>
      <c r="E13" s="369"/>
      <c r="F13" s="341"/>
      <c r="G13" s="371"/>
      <c r="H13" s="372"/>
      <c r="I13" s="372"/>
      <c r="J13" s="372"/>
      <c r="K13" s="373"/>
      <c r="L13" s="341"/>
      <c r="M13" s="341"/>
      <c r="N13" s="341"/>
      <c r="O13" s="341"/>
      <c r="P13" s="341"/>
    </row>
    <row r="14" spans="1:16" ht="15.75" thickBot="1">
      <c r="A14" s="3"/>
      <c r="B14" s="342" t="s">
        <v>21</v>
      </c>
      <c r="C14" s="343"/>
      <c r="D14" s="344"/>
      <c r="E14" s="17" t="s">
        <v>22</v>
      </c>
      <c r="F14" s="225">
        <v>3</v>
      </c>
      <c r="G14" s="345">
        <v>4</v>
      </c>
      <c r="H14" s="335"/>
      <c r="I14" s="335"/>
      <c r="J14" s="337"/>
      <c r="K14" s="19">
        <v>5</v>
      </c>
      <c r="L14" s="223">
        <v>6</v>
      </c>
      <c r="M14" s="7">
        <v>7</v>
      </c>
      <c r="N14" s="223">
        <v>8</v>
      </c>
      <c r="O14" s="223">
        <v>9</v>
      </c>
      <c r="P14" s="7">
        <v>10</v>
      </c>
    </row>
    <row r="15" spans="1:16" ht="33" customHeight="1" thickBot="1">
      <c r="A15" s="346"/>
      <c r="B15" s="348" t="s">
        <v>23</v>
      </c>
      <c r="C15" s="349"/>
      <c r="D15" s="350"/>
      <c r="E15" s="21" t="s">
        <v>24</v>
      </c>
      <c r="F15" s="21" t="s">
        <v>25</v>
      </c>
      <c r="G15" s="354" t="s">
        <v>26</v>
      </c>
      <c r="H15" s="355"/>
      <c r="I15" s="355"/>
      <c r="J15" s="356"/>
      <c r="K15" s="22" t="s">
        <v>27</v>
      </c>
      <c r="L15" s="23" t="s">
        <v>26</v>
      </c>
      <c r="M15" s="24" t="s">
        <v>28</v>
      </c>
      <c r="N15" s="24" t="s">
        <v>26</v>
      </c>
      <c r="O15" s="24" t="s">
        <v>26</v>
      </c>
      <c r="P15" s="25" t="s">
        <v>26</v>
      </c>
    </row>
    <row r="16" spans="1:16" ht="32.25" customHeight="1" thickBot="1">
      <c r="A16" s="347"/>
      <c r="B16" s="351"/>
      <c r="C16" s="352"/>
      <c r="D16" s="353"/>
      <c r="E16" s="26">
        <f>SUM(E17:E23)</f>
        <v>428270</v>
      </c>
      <c r="F16" s="27">
        <f>SUM(F17:F23)</f>
        <v>11910701</v>
      </c>
      <c r="G16" s="357">
        <f>G17+G18+G19+G20+G21+G22+G23</f>
        <v>1450425.5999999999</v>
      </c>
      <c r="H16" s="358"/>
      <c r="I16" s="358"/>
      <c r="J16" s="359"/>
      <c r="K16" s="230">
        <f>SUM(K17:K23)</f>
        <v>1450425.5999999999</v>
      </c>
      <c r="L16" s="230">
        <f>SUM(L17:L23)</f>
        <v>11628201.57</v>
      </c>
      <c r="M16" s="230">
        <f>SUM(M17:M23)</f>
        <v>-1022155.5999999999</v>
      </c>
      <c r="N16" s="230">
        <f>SUM(N17:N23)</f>
        <v>282499.42999999993</v>
      </c>
      <c r="O16" s="29">
        <v>0</v>
      </c>
      <c r="P16" s="29">
        <v>0</v>
      </c>
    </row>
    <row r="17" spans="1:18" ht="56.25" customHeight="1" thickBot="1">
      <c r="A17" s="30" t="s">
        <v>29</v>
      </c>
      <c r="B17" s="383" t="s">
        <v>30</v>
      </c>
      <c r="C17" s="384"/>
      <c r="D17" s="385"/>
      <c r="E17" s="154">
        <v>146045</v>
      </c>
      <c r="F17" s="31">
        <f>8296742+E17</f>
        <v>8442787</v>
      </c>
      <c r="G17" s="377">
        <v>1156360.88</v>
      </c>
      <c r="H17" s="378"/>
      <c r="I17" s="378"/>
      <c r="J17" s="379"/>
      <c r="K17" s="227">
        <f>G17</f>
        <v>1156360.88</v>
      </c>
      <c r="L17" s="33">
        <f>6138991.32+K17</f>
        <v>7295352.2</v>
      </c>
      <c r="M17" s="34">
        <f>E17-K17</f>
        <v>-1010315.8799999999</v>
      </c>
      <c r="N17" s="35">
        <f>F17-L17</f>
        <v>1147434.7999999998</v>
      </c>
      <c r="O17" s="36">
        <v>0</v>
      </c>
      <c r="P17" s="36">
        <v>0</v>
      </c>
      <c r="Q17" s="1"/>
      <c r="R17" s="37">
        <v>365352.1499999948</v>
      </c>
    </row>
    <row r="18" spans="1:18" ht="44.25" customHeight="1" thickBot="1">
      <c r="A18" s="38" t="s">
        <v>31</v>
      </c>
      <c r="B18" s="386" t="s">
        <v>32</v>
      </c>
      <c r="C18" s="387"/>
      <c r="D18" s="388"/>
      <c r="E18" s="148">
        <v>279225</v>
      </c>
      <c r="F18" s="31">
        <f>3136489+E18</f>
        <v>3415714</v>
      </c>
      <c r="G18" s="377">
        <v>285700</v>
      </c>
      <c r="H18" s="378"/>
      <c r="I18" s="378"/>
      <c r="J18" s="379"/>
      <c r="K18" s="227">
        <f>G18</f>
        <v>285700</v>
      </c>
      <c r="L18" s="33">
        <f>3298721.4+K18</f>
        <v>3584421.4</v>
      </c>
      <c r="M18" s="34">
        <f>E18-K18</f>
        <v>-6475</v>
      </c>
      <c r="N18" s="35">
        <f>F18-L18</f>
        <v>-168707.3999999999</v>
      </c>
      <c r="O18" s="36">
        <v>0</v>
      </c>
      <c r="P18" s="36">
        <v>0</v>
      </c>
      <c r="Q18" s="1"/>
      <c r="R18" s="1"/>
    </row>
    <row r="19" spans="1:18" ht="33" customHeight="1" thickBot="1">
      <c r="A19" s="38" t="s">
        <v>33</v>
      </c>
      <c r="B19" s="389" t="s">
        <v>34</v>
      </c>
      <c r="C19" s="390"/>
      <c r="D19" s="391"/>
      <c r="E19" s="39"/>
      <c r="F19" s="31">
        <f>0+E19</f>
        <v>0</v>
      </c>
      <c r="G19" s="377"/>
      <c r="H19" s="378"/>
      <c r="I19" s="378"/>
      <c r="J19" s="379"/>
      <c r="K19" s="227">
        <f>G19</f>
        <v>0</v>
      </c>
      <c r="L19" s="33">
        <f>0+K19</f>
        <v>0</v>
      </c>
      <c r="M19" s="34">
        <f aca="true" t="shared" si="0" ref="M19:N23">E19-K19</f>
        <v>0</v>
      </c>
      <c r="N19" s="35">
        <f t="shared" si="0"/>
        <v>0</v>
      </c>
      <c r="O19" s="36">
        <v>0</v>
      </c>
      <c r="P19" s="40">
        <v>0</v>
      </c>
      <c r="Q19" s="1"/>
      <c r="R19" s="1"/>
    </row>
    <row r="20" spans="1:18" ht="52.5" customHeight="1" thickBot="1">
      <c r="A20" s="41" t="s">
        <v>35</v>
      </c>
      <c r="B20" s="374" t="s">
        <v>36</v>
      </c>
      <c r="C20" s="375"/>
      <c r="D20" s="376"/>
      <c r="E20" s="42"/>
      <c r="F20" s="31">
        <f>0+E20</f>
        <v>0</v>
      </c>
      <c r="G20" s="377"/>
      <c r="H20" s="378"/>
      <c r="I20" s="378"/>
      <c r="J20" s="379"/>
      <c r="K20" s="227">
        <f>G20</f>
        <v>0</v>
      </c>
      <c r="L20" s="33">
        <f>0+K20</f>
        <v>0</v>
      </c>
      <c r="M20" s="34">
        <f t="shared" si="0"/>
        <v>0</v>
      </c>
      <c r="N20" s="35">
        <f t="shared" si="0"/>
        <v>0</v>
      </c>
      <c r="O20" s="36">
        <v>0</v>
      </c>
      <c r="P20" s="36">
        <v>0</v>
      </c>
      <c r="Q20" s="37"/>
      <c r="R20" s="37"/>
    </row>
    <row r="21" spans="1:18" ht="24.75" customHeight="1" thickBot="1">
      <c r="A21" s="43" t="s">
        <v>37</v>
      </c>
      <c r="B21" s="380" t="s">
        <v>38</v>
      </c>
      <c r="C21" s="381"/>
      <c r="D21" s="382"/>
      <c r="E21" s="44"/>
      <c r="F21" s="31">
        <f>0+E21</f>
        <v>0</v>
      </c>
      <c r="G21" s="377"/>
      <c r="H21" s="378"/>
      <c r="I21" s="378"/>
      <c r="J21" s="379"/>
      <c r="K21" s="227">
        <f>G21</f>
        <v>0</v>
      </c>
      <c r="L21" s="33">
        <f>0+K21</f>
        <v>0</v>
      </c>
      <c r="M21" s="34">
        <f t="shared" si="0"/>
        <v>0</v>
      </c>
      <c r="N21" s="35">
        <f t="shared" si="0"/>
        <v>0</v>
      </c>
      <c r="O21" s="36">
        <v>0</v>
      </c>
      <c r="P21" s="36">
        <v>0</v>
      </c>
      <c r="Q21" s="37"/>
      <c r="R21" s="1"/>
    </row>
    <row r="22" spans="1:18" ht="37.5" customHeight="1" thickBot="1">
      <c r="A22" s="43" t="s">
        <v>39</v>
      </c>
      <c r="B22" s="383" t="s">
        <v>40</v>
      </c>
      <c r="C22" s="384"/>
      <c r="D22" s="385"/>
      <c r="E22" s="149">
        <v>3000</v>
      </c>
      <c r="F22" s="31">
        <f>49200+E22</f>
        <v>52200</v>
      </c>
      <c r="G22" s="377">
        <v>8364.72</v>
      </c>
      <c r="H22" s="378"/>
      <c r="I22" s="378"/>
      <c r="J22" s="379"/>
      <c r="K22" s="227">
        <f>G22</f>
        <v>8364.72</v>
      </c>
      <c r="L22" s="33">
        <f>61291.71+K22</f>
        <v>69656.43</v>
      </c>
      <c r="M22" s="34">
        <f>E22-K22</f>
        <v>-5364.719999999999</v>
      </c>
      <c r="N22" s="35">
        <f t="shared" si="0"/>
        <v>-17456.429999999993</v>
      </c>
      <c r="O22" s="36">
        <v>0</v>
      </c>
      <c r="P22" s="36">
        <v>0</v>
      </c>
      <c r="Q22" s="1"/>
      <c r="R22" s="1"/>
    </row>
    <row r="23" spans="1:18" ht="30.75" customHeight="1" thickBot="1">
      <c r="A23" s="43" t="s">
        <v>41</v>
      </c>
      <c r="B23" s="392" t="s">
        <v>42</v>
      </c>
      <c r="C23" s="393"/>
      <c r="D23" s="394"/>
      <c r="E23" s="46"/>
      <c r="F23" s="31"/>
      <c r="G23" s="377"/>
      <c r="H23" s="378"/>
      <c r="I23" s="378"/>
      <c r="J23" s="379"/>
      <c r="K23" s="227">
        <f>G23</f>
        <v>0</v>
      </c>
      <c r="L23" s="33">
        <f>678771.54+K23</f>
        <v>678771.54</v>
      </c>
      <c r="M23" s="34">
        <f t="shared" si="0"/>
        <v>0</v>
      </c>
      <c r="N23" s="35">
        <f t="shared" si="0"/>
        <v>-678771.54</v>
      </c>
      <c r="O23" s="36">
        <v>0</v>
      </c>
      <c r="P23" s="36">
        <v>0</v>
      </c>
      <c r="Q23" s="1"/>
      <c r="R23" s="1"/>
    </row>
    <row r="24" spans="1:18" ht="15">
      <c r="A24" s="346"/>
      <c r="B24" s="395" t="s">
        <v>43</v>
      </c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7"/>
      <c r="Q24" s="1"/>
      <c r="R24" s="1"/>
    </row>
    <row r="25" spans="1:18" ht="3.75" customHeight="1" thickBot="1">
      <c r="A25" s="347"/>
      <c r="B25" s="398"/>
      <c r="C25" s="399"/>
      <c r="D25" s="399"/>
      <c r="E25" s="399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400"/>
      <c r="Q25" s="1"/>
      <c r="R25" s="1"/>
    </row>
    <row r="26" spans="1:18" ht="15.75" thickBot="1">
      <c r="A26" s="346"/>
      <c r="B26" s="364" t="s">
        <v>14</v>
      </c>
      <c r="C26" s="365"/>
      <c r="D26" s="366"/>
      <c r="E26" s="401" t="s">
        <v>24</v>
      </c>
      <c r="F26" s="403" t="s">
        <v>25</v>
      </c>
      <c r="G26" s="338" t="s">
        <v>44</v>
      </c>
      <c r="H26" s="321"/>
      <c r="I26" s="321"/>
      <c r="J26" s="321"/>
      <c r="K26" s="339"/>
      <c r="L26" s="340" t="s">
        <v>16</v>
      </c>
      <c r="M26" s="340" t="s">
        <v>17</v>
      </c>
      <c r="N26" s="340" t="s">
        <v>18</v>
      </c>
      <c r="O26" s="340" t="s">
        <v>19</v>
      </c>
      <c r="P26" s="340" t="s">
        <v>20</v>
      </c>
      <c r="Q26" s="1"/>
      <c r="R26" s="1"/>
    </row>
    <row r="27" spans="1:18" ht="94.5" customHeight="1" thickBot="1">
      <c r="A27" s="347"/>
      <c r="B27" s="367"/>
      <c r="C27" s="368"/>
      <c r="D27" s="369"/>
      <c r="E27" s="402"/>
      <c r="F27" s="404"/>
      <c r="G27" s="226" t="s">
        <v>45</v>
      </c>
      <c r="H27" s="226" t="s">
        <v>46</v>
      </c>
      <c r="I27" s="226" t="s">
        <v>47</v>
      </c>
      <c r="J27" s="7" t="s">
        <v>48</v>
      </c>
      <c r="K27" s="8" t="s">
        <v>27</v>
      </c>
      <c r="L27" s="341"/>
      <c r="M27" s="341"/>
      <c r="N27" s="341"/>
      <c r="O27" s="341"/>
      <c r="P27" s="341"/>
      <c r="Q27" s="1"/>
      <c r="R27" s="37">
        <v>365352.1499999948</v>
      </c>
    </row>
    <row r="28" spans="1:18" ht="15.75" thickBot="1">
      <c r="A28" s="3"/>
      <c r="B28" s="342">
        <v>1</v>
      </c>
      <c r="C28" s="343"/>
      <c r="D28" s="344"/>
      <c r="E28" s="17" t="s">
        <v>22</v>
      </c>
      <c r="F28" s="226">
        <v>3</v>
      </c>
      <c r="G28" s="226">
        <v>4</v>
      </c>
      <c r="H28" s="226">
        <v>5</v>
      </c>
      <c r="I28" s="7">
        <v>6</v>
      </c>
      <c r="J28" s="7">
        <v>7</v>
      </c>
      <c r="K28" s="48">
        <v>8</v>
      </c>
      <c r="L28" s="223">
        <v>9</v>
      </c>
      <c r="M28" s="7">
        <v>10</v>
      </c>
      <c r="N28" s="223">
        <v>11</v>
      </c>
      <c r="O28" s="7">
        <v>12</v>
      </c>
      <c r="P28" s="223">
        <v>13</v>
      </c>
      <c r="Q28" s="1"/>
      <c r="R28" s="1"/>
    </row>
    <row r="29" spans="1:18" ht="15.75" thickBot="1">
      <c r="A29" s="3"/>
      <c r="B29" s="345" t="s">
        <v>23</v>
      </c>
      <c r="C29" s="335"/>
      <c r="D29" s="337"/>
      <c r="E29" s="49">
        <f>E30+E34+E38+E44+E51+E54+E64+E67+E71+E74+E78+E80+E88+E101+E132+E135+E138+E141</f>
        <v>428270</v>
      </c>
      <c r="F29" s="49">
        <f>F30+F34+F38+F44+F51+F54+F64+F67+F71+F74+F78+F80+F88+F101+F132+F135+F138+F141</f>
        <v>11916205</v>
      </c>
      <c r="G29" s="49">
        <f>G30+G34+G38+G44+G51+G54+G64+G67+G71+G74+G78+G80+G88+G101+G132+G135+G138+G141</f>
        <v>1084123.91</v>
      </c>
      <c r="H29" s="49">
        <f>H30+H34+H38+H44+H51+H54+H64+H67+H71+H74+H78+H80+H88+H101+H132+H135+H138+H141</f>
        <v>213873</v>
      </c>
      <c r="I29" s="49">
        <f>I30+I34+I38+I44+I51+I54+I64+I67+I71+I74+I78+I80+I88+I101+I132+I135+I138+I141</f>
        <v>0</v>
      </c>
      <c r="J29" s="49">
        <f>J30+J34+J38+J44+J51+J54+J64+J67+J71+J74+J78+J80+J88+J101+J132+J135+J138+J141</f>
        <v>138755.71</v>
      </c>
      <c r="K29" s="49">
        <f>K30+K34+K38+K44+K51+K54+K64+K67+K71+K74+K78+K80+K88+K101+K132+K135+K138+K141</f>
        <v>1436752.6199999996</v>
      </c>
      <c r="L29" s="49">
        <f>L30+L34+L38+L44+L51+L54+L64+L67+L71+L74+L78+L80+L88+L101+L132+L135+L138+L141</f>
        <v>11512351.54</v>
      </c>
      <c r="M29" s="49">
        <f>M30+M34+M38+M44+M51+M54+M64+M67+M71+M74+M78+M80+M88+M101+M132+M135+M138+M141</f>
        <v>-1008482.6199999999</v>
      </c>
      <c r="N29" s="49">
        <f>N30+N34+N38+N44+N51+N54+N64+N67+N71+N74+N78+N80+N88+N101+N132+N135+N138+N141</f>
        <v>403853.4599999996</v>
      </c>
      <c r="O29" s="50">
        <v>0</v>
      </c>
      <c r="P29" s="50">
        <v>0</v>
      </c>
      <c r="Q29" s="1"/>
      <c r="R29" s="37">
        <f>3440426+E29</f>
        <v>3868696</v>
      </c>
    </row>
    <row r="30" spans="1:18" ht="21.75" customHeight="1" thickBot="1">
      <c r="A30" s="51" t="s">
        <v>21</v>
      </c>
      <c r="B30" s="417" t="s">
        <v>49</v>
      </c>
      <c r="C30" s="418"/>
      <c r="D30" s="419"/>
      <c r="E30" s="52">
        <f>SUM(E31:E32)</f>
        <v>232300</v>
      </c>
      <c r="F30" s="53">
        <f>F31+F32+F33</f>
        <v>5834348</v>
      </c>
      <c r="G30" s="54">
        <f>G31+G32+G33</f>
        <v>509635.71</v>
      </c>
      <c r="H30" s="54">
        <f>H31</f>
        <v>20000</v>
      </c>
      <c r="I30" s="54"/>
      <c r="J30" s="54"/>
      <c r="K30" s="53">
        <f>G30+H30</f>
        <v>529635.71</v>
      </c>
      <c r="L30" s="55">
        <f>L31+L32</f>
        <v>5611630.65</v>
      </c>
      <c r="M30" s="56">
        <f>E30-K30</f>
        <v>-297335.70999999996</v>
      </c>
      <c r="N30" s="70">
        <f>F30-L30</f>
        <v>222717.34999999963</v>
      </c>
      <c r="O30" s="58">
        <v>0</v>
      </c>
      <c r="P30" s="59">
        <v>0</v>
      </c>
      <c r="Q30" s="37"/>
      <c r="R30" s="37"/>
    </row>
    <row r="31" spans="1:18" ht="26.25" customHeight="1" thickBot="1">
      <c r="A31" s="60" t="s">
        <v>50</v>
      </c>
      <c r="B31" s="411" t="s">
        <v>51</v>
      </c>
      <c r="C31" s="412"/>
      <c r="D31" s="413"/>
      <c r="E31" s="187">
        <v>232300</v>
      </c>
      <c r="F31" s="31">
        <f>2609392+E31</f>
        <v>2841692</v>
      </c>
      <c r="G31" s="62"/>
      <c r="H31" s="62">
        <v>20000</v>
      </c>
      <c r="I31" s="62"/>
      <c r="J31" s="62"/>
      <c r="K31" s="45">
        <f>H31</f>
        <v>20000</v>
      </c>
      <c r="L31" s="33">
        <f>2585848.69+K31</f>
        <v>2605848.69</v>
      </c>
      <c r="M31" s="34">
        <f>E31-K31</f>
        <v>212300</v>
      </c>
      <c r="N31" s="63">
        <f>F31-L31</f>
        <v>235843.31000000006</v>
      </c>
      <c r="O31" s="64">
        <v>0</v>
      </c>
      <c r="P31" s="65">
        <v>0</v>
      </c>
      <c r="Q31" s="37"/>
      <c r="R31" s="37"/>
    </row>
    <row r="32" spans="1:18" ht="30" customHeight="1" thickBot="1">
      <c r="A32" s="60" t="s">
        <v>52</v>
      </c>
      <c r="B32" s="405" t="s">
        <v>53</v>
      </c>
      <c r="C32" s="406"/>
      <c r="D32" s="407"/>
      <c r="E32" s="187"/>
      <c r="F32" s="31">
        <f>2992656+E32</f>
        <v>2992656</v>
      </c>
      <c r="G32" s="62">
        <v>509635.71</v>
      </c>
      <c r="H32" s="62"/>
      <c r="I32" s="62"/>
      <c r="J32" s="62"/>
      <c r="K32" s="33">
        <f>0+G32</f>
        <v>509635.71</v>
      </c>
      <c r="L32" s="33">
        <f>2496146.25+K32</f>
        <v>3005781.96</v>
      </c>
      <c r="M32" s="34">
        <f>E32-K32</f>
        <v>-509635.71</v>
      </c>
      <c r="N32" s="63">
        <f>F32-L32</f>
        <v>-13125.959999999963</v>
      </c>
      <c r="O32" s="64">
        <v>0</v>
      </c>
      <c r="P32" s="65">
        <v>0</v>
      </c>
      <c r="Q32" s="37"/>
      <c r="R32" s="37"/>
    </row>
    <row r="33" spans="1:18" ht="15.75" thickBot="1">
      <c r="A33" s="60" t="s">
        <v>54</v>
      </c>
      <c r="B33" s="405" t="s">
        <v>55</v>
      </c>
      <c r="C33" s="406"/>
      <c r="D33" s="407"/>
      <c r="E33" s="66"/>
      <c r="F33" s="33"/>
      <c r="G33" s="62"/>
      <c r="H33" s="62"/>
      <c r="I33" s="62"/>
      <c r="J33" s="62"/>
      <c r="K33" s="45"/>
      <c r="L33" s="33"/>
      <c r="M33" s="67"/>
      <c r="N33" s="68"/>
      <c r="O33" s="64"/>
      <c r="P33" s="65"/>
      <c r="Q33" s="37"/>
      <c r="R33" s="37"/>
    </row>
    <row r="34" spans="1:18" ht="36" customHeight="1" thickBot="1">
      <c r="A34" s="69" t="s">
        <v>22</v>
      </c>
      <c r="B34" s="408" t="s">
        <v>56</v>
      </c>
      <c r="C34" s="409"/>
      <c r="D34" s="410"/>
      <c r="E34" s="53">
        <f>SUM(E35:E37)</f>
        <v>46925</v>
      </c>
      <c r="F34" s="53">
        <f>F35+F36+F37</f>
        <v>1178538</v>
      </c>
      <c r="G34" s="54">
        <f>G35+G36+G37</f>
        <v>322670.48</v>
      </c>
      <c r="H34" s="54">
        <f>H35</f>
        <v>193873</v>
      </c>
      <c r="I34" s="54"/>
      <c r="J34" s="54"/>
      <c r="K34" s="53">
        <f>G34+H34</f>
        <v>516543.48</v>
      </c>
      <c r="L34" s="55">
        <f>L35+L36</f>
        <v>1326086.94</v>
      </c>
      <c r="M34" s="56">
        <f aca="true" t="shared" si="1" ref="M34:N36">E34-K34</f>
        <v>-469618.48</v>
      </c>
      <c r="N34" s="70">
        <f t="shared" si="1"/>
        <v>-147548.93999999994</v>
      </c>
      <c r="O34" s="58">
        <v>0</v>
      </c>
      <c r="P34" s="59">
        <v>0</v>
      </c>
      <c r="Q34" s="1"/>
      <c r="R34" s="1"/>
    </row>
    <row r="35" spans="1:18" ht="29.25" customHeight="1" thickBot="1">
      <c r="A35" s="60" t="s">
        <v>57</v>
      </c>
      <c r="B35" s="411" t="s">
        <v>51</v>
      </c>
      <c r="C35" s="412"/>
      <c r="D35" s="413"/>
      <c r="E35" s="188">
        <v>46925</v>
      </c>
      <c r="F35" s="31">
        <f>527098+E35</f>
        <v>574023</v>
      </c>
      <c r="G35" s="62"/>
      <c r="H35" s="62">
        <v>193873</v>
      </c>
      <c r="I35" s="62"/>
      <c r="J35" s="62"/>
      <c r="K35" s="45">
        <f>H35</f>
        <v>193873</v>
      </c>
      <c r="L35" s="33">
        <f>360489.11+K35</f>
        <v>554362.11</v>
      </c>
      <c r="M35" s="34">
        <f t="shared" si="1"/>
        <v>-146948</v>
      </c>
      <c r="N35" s="63">
        <f t="shared" si="1"/>
        <v>19660.890000000014</v>
      </c>
      <c r="O35" s="64">
        <v>0</v>
      </c>
      <c r="P35" s="65">
        <v>0</v>
      </c>
      <c r="Q35" s="1"/>
      <c r="R35" s="71">
        <f>10506304-F29</f>
        <v>-1409901</v>
      </c>
    </row>
    <row r="36" spans="1:18" ht="15.75" thickBot="1">
      <c r="A36" s="60" t="s">
        <v>58</v>
      </c>
      <c r="B36" s="405" t="s">
        <v>53</v>
      </c>
      <c r="C36" s="406"/>
      <c r="D36" s="407"/>
      <c r="E36" s="188"/>
      <c r="F36" s="31">
        <f>604515+E36</f>
        <v>604515</v>
      </c>
      <c r="G36" s="62">
        <v>322670.48</v>
      </c>
      <c r="H36" s="62"/>
      <c r="I36" s="62"/>
      <c r="J36" s="62"/>
      <c r="K36" s="45">
        <f>G36</f>
        <v>322670.48</v>
      </c>
      <c r="L36" s="33">
        <f>449054.35+K36</f>
        <v>771724.83</v>
      </c>
      <c r="M36" s="34">
        <f>E36-K36</f>
        <v>-322670.48</v>
      </c>
      <c r="N36" s="63">
        <f t="shared" si="1"/>
        <v>-167209.82999999996</v>
      </c>
      <c r="O36" s="64">
        <v>0</v>
      </c>
      <c r="P36" s="65">
        <v>0</v>
      </c>
      <c r="Q36" s="1"/>
      <c r="R36" s="1"/>
    </row>
    <row r="37" spans="1:18" ht="15" customHeight="1" thickBot="1">
      <c r="A37" s="60" t="s">
        <v>59</v>
      </c>
      <c r="B37" s="405" t="s">
        <v>55</v>
      </c>
      <c r="C37" s="406"/>
      <c r="D37" s="407"/>
      <c r="E37" s="45"/>
      <c r="F37" s="31"/>
      <c r="G37" s="62"/>
      <c r="H37" s="62"/>
      <c r="I37" s="62"/>
      <c r="J37" s="62"/>
      <c r="K37" s="45"/>
      <c r="L37" s="33"/>
      <c r="M37" s="67"/>
      <c r="N37" s="72"/>
      <c r="O37" s="64"/>
      <c r="P37" s="65"/>
      <c r="Q37" s="1"/>
      <c r="R37" s="1"/>
    </row>
    <row r="38" spans="1:18" ht="29.25" customHeight="1" thickBot="1">
      <c r="A38" s="51" t="s">
        <v>60</v>
      </c>
      <c r="B38" s="408" t="s">
        <v>61</v>
      </c>
      <c r="C38" s="409"/>
      <c r="D38" s="410"/>
      <c r="E38" s="53">
        <f>SUM(E41:E43)</f>
        <v>5065</v>
      </c>
      <c r="F38" s="73">
        <f>F41+F42+F43</f>
        <v>38455</v>
      </c>
      <c r="G38" s="54">
        <f>G40</f>
        <v>5043.63</v>
      </c>
      <c r="H38" s="54"/>
      <c r="I38" s="54"/>
      <c r="J38" s="54"/>
      <c r="K38" s="55">
        <f>K39+K40</f>
        <v>5043.63</v>
      </c>
      <c r="L38" s="55">
        <f>L40+L39</f>
        <v>37008.17</v>
      </c>
      <c r="M38" s="56">
        <f>E38-K38</f>
        <v>21.36999999999989</v>
      </c>
      <c r="N38" s="57">
        <f>F38-L38</f>
        <v>1446.8300000000017</v>
      </c>
      <c r="O38" s="58">
        <v>0</v>
      </c>
      <c r="P38" s="59">
        <v>0</v>
      </c>
      <c r="Q38" s="1"/>
      <c r="R38" s="1"/>
    </row>
    <row r="39" spans="1:18" ht="30.75" customHeight="1" thickBot="1">
      <c r="A39" s="60" t="s">
        <v>62</v>
      </c>
      <c r="B39" s="411" t="s">
        <v>51</v>
      </c>
      <c r="C39" s="412"/>
      <c r="D39" s="413"/>
      <c r="E39" s="33"/>
      <c r="F39" s="31"/>
      <c r="G39" s="62"/>
      <c r="H39" s="62"/>
      <c r="I39" s="62"/>
      <c r="J39" s="62"/>
      <c r="K39" s="45"/>
      <c r="L39" s="33"/>
      <c r="M39" s="67"/>
      <c r="N39" s="72"/>
      <c r="O39" s="64"/>
      <c r="P39" s="65"/>
      <c r="Q39" s="1"/>
      <c r="R39" s="1"/>
    </row>
    <row r="40" spans="1:18" ht="27" customHeight="1" thickBot="1">
      <c r="A40" s="60" t="s">
        <v>63</v>
      </c>
      <c r="B40" s="405" t="s">
        <v>53</v>
      </c>
      <c r="C40" s="406"/>
      <c r="D40" s="407"/>
      <c r="E40" s="45">
        <f>E41+E42+E43</f>
        <v>5065</v>
      </c>
      <c r="F40" s="31">
        <f>33390+E40</f>
        <v>38455</v>
      </c>
      <c r="G40" s="62">
        <f>G41+G42</f>
        <v>5043.63</v>
      </c>
      <c r="H40" s="62"/>
      <c r="I40" s="62"/>
      <c r="J40" s="62"/>
      <c r="K40" s="33">
        <f>0+G40</f>
        <v>5043.63</v>
      </c>
      <c r="L40" s="33">
        <f>L41+L42+L43</f>
        <v>37008.17</v>
      </c>
      <c r="M40" s="34">
        <f>E40-K40</f>
        <v>21.36999999999989</v>
      </c>
      <c r="N40" s="63">
        <f aca="true" t="shared" si="2" ref="M40:N55">F40-L40</f>
        <v>1446.8300000000017</v>
      </c>
      <c r="O40" s="64">
        <v>0</v>
      </c>
      <c r="P40" s="65">
        <v>0</v>
      </c>
      <c r="Q40" s="1"/>
      <c r="R40" s="1"/>
    </row>
    <row r="41" spans="1:18" ht="15.75" thickBot="1">
      <c r="A41" s="60" t="s">
        <v>64</v>
      </c>
      <c r="B41" s="414" t="s">
        <v>65</v>
      </c>
      <c r="C41" s="415"/>
      <c r="D41" s="416"/>
      <c r="E41" s="153">
        <v>2846</v>
      </c>
      <c r="F41" s="31">
        <f>17076+E41</f>
        <v>19922</v>
      </c>
      <c r="G41" s="62">
        <v>2824.63</v>
      </c>
      <c r="H41" s="62"/>
      <c r="I41" s="62"/>
      <c r="J41" s="62"/>
      <c r="K41" s="33">
        <f>0+G41</f>
        <v>2824.63</v>
      </c>
      <c r="L41" s="33">
        <f>16538.54+K41</f>
        <v>19363.170000000002</v>
      </c>
      <c r="M41" s="34">
        <f t="shared" si="2"/>
        <v>21.36999999999989</v>
      </c>
      <c r="N41" s="63">
        <f t="shared" si="2"/>
        <v>558.8299999999981</v>
      </c>
      <c r="O41" s="64">
        <v>0</v>
      </c>
      <c r="P41" s="65">
        <v>0</v>
      </c>
      <c r="Q41" s="1"/>
      <c r="R41" s="1"/>
    </row>
    <row r="42" spans="1:18" ht="15.75" thickBot="1">
      <c r="A42" s="60" t="s">
        <v>66</v>
      </c>
      <c r="B42" s="414" t="s">
        <v>67</v>
      </c>
      <c r="C42" s="415"/>
      <c r="D42" s="416"/>
      <c r="E42" s="153">
        <v>2219</v>
      </c>
      <c r="F42" s="31">
        <f>13314+E42</f>
        <v>15533</v>
      </c>
      <c r="G42" s="62">
        <v>2219</v>
      </c>
      <c r="H42" s="62"/>
      <c r="I42" s="62"/>
      <c r="J42" s="62"/>
      <c r="K42" s="33">
        <f>0+G42</f>
        <v>2219</v>
      </c>
      <c r="L42" s="33">
        <f>13314+K42</f>
        <v>15533</v>
      </c>
      <c r="M42" s="34">
        <f t="shared" si="2"/>
        <v>0</v>
      </c>
      <c r="N42" s="63">
        <f t="shared" si="2"/>
        <v>0</v>
      </c>
      <c r="O42" s="64">
        <v>0</v>
      </c>
      <c r="P42" s="65">
        <v>0</v>
      </c>
      <c r="Q42" s="1"/>
      <c r="R42" s="1"/>
    </row>
    <row r="43" spans="1:18" ht="15.75" thickBot="1">
      <c r="A43" s="60" t="s">
        <v>68</v>
      </c>
      <c r="B43" s="414" t="s">
        <v>210</v>
      </c>
      <c r="C43" s="415"/>
      <c r="D43" s="416"/>
      <c r="E43" s="153"/>
      <c r="F43" s="31">
        <f>3000+E43</f>
        <v>3000</v>
      </c>
      <c r="G43" s="74"/>
      <c r="H43" s="74"/>
      <c r="I43" s="74"/>
      <c r="J43" s="62"/>
      <c r="K43" s="33">
        <f>0+J43</f>
        <v>0</v>
      </c>
      <c r="L43" s="33">
        <f>2112+K43</f>
        <v>2112</v>
      </c>
      <c r="M43" s="34">
        <f t="shared" si="2"/>
        <v>0</v>
      </c>
      <c r="N43" s="63">
        <f t="shared" si="2"/>
        <v>888</v>
      </c>
      <c r="O43" s="64">
        <v>0</v>
      </c>
      <c r="P43" s="65">
        <v>0</v>
      </c>
      <c r="Q43" s="1"/>
      <c r="R43" s="37"/>
    </row>
    <row r="44" spans="1:18" ht="33.75" customHeight="1" thickBot="1">
      <c r="A44" s="51" t="s">
        <v>69</v>
      </c>
      <c r="B44" s="408" t="s">
        <v>70</v>
      </c>
      <c r="C44" s="409"/>
      <c r="D44" s="410"/>
      <c r="E44" s="53">
        <f>SUM(E47:E49)</f>
        <v>0</v>
      </c>
      <c r="F44" s="73">
        <f>F45+F46+F47</f>
        <v>1300200</v>
      </c>
      <c r="G44" s="55">
        <f>G45+G46+G47</f>
        <v>124723</v>
      </c>
      <c r="H44" s="75"/>
      <c r="I44" s="75"/>
      <c r="J44" s="54"/>
      <c r="K44" s="55">
        <f>K45+K46+K47</f>
        <v>124723</v>
      </c>
      <c r="L44" s="55">
        <f>L45+L46+L47</f>
        <v>1284892</v>
      </c>
      <c r="M44" s="56">
        <f t="shared" si="2"/>
        <v>-124723</v>
      </c>
      <c r="N44" s="158">
        <f t="shared" si="2"/>
        <v>15308</v>
      </c>
      <c r="O44" s="58">
        <v>0</v>
      </c>
      <c r="P44" s="59">
        <v>0</v>
      </c>
      <c r="Q44" s="1"/>
      <c r="R44" s="1"/>
    </row>
    <row r="45" spans="1:18" ht="27" customHeight="1" thickBot="1">
      <c r="A45" s="60" t="s">
        <v>71</v>
      </c>
      <c r="B45" s="405" t="s">
        <v>53</v>
      </c>
      <c r="C45" s="406"/>
      <c r="D45" s="407"/>
      <c r="E45" s="155">
        <f>E48+E49</f>
        <v>0</v>
      </c>
      <c r="F45" s="31">
        <f>F48+F49+F50</f>
        <v>1300200</v>
      </c>
      <c r="G45" s="33">
        <f>G48+G49</f>
        <v>124723</v>
      </c>
      <c r="H45" s="74"/>
      <c r="I45" s="74"/>
      <c r="J45" s="62"/>
      <c r="K45" s="33">
        <f>0+G45</f>
        <v>124723</v>
      </c>
      <c r="L45" s="33">
        <f>L48+L49</f>
        <v>1284892</v>
      </c>
      <c r="M45" s="34">
        <f>E45-K45</f>
        <v>-124723</v>
      </c>
      <c r="N45" s="35">
        <f t="shared" si="2"/>
        <v>15308</v>
      </c>
      <c r="O45" s="64">
        <v>0</v>
      </c>
      <c r="P45" s="65">
        <v>0</v>
      </c>
      <c r="Q45" s="1"/>
      <c r="R45" s="1"/>
    </row>
    <row r="46" spans="1:18" ht="27" customHeight="1" thickBot="1">
      <c r="A46" s="60" t="s">
        <v>72</v>
      </c>
      <c r="B46" s="411" t="s">
        <v>51</v>
      </c>
      <c r="C46" s="412"/>
      <c r="D46" s="413"/>
      <c r="E46" s="76"/>
      <c r="F46" s="31"/>
      <c r="G46" s="33"/>
      <c r="H46" s="74"/>
      <c r="I46" s="74"/>
      <c r="J46" s="62"/>
      <c r="K46" s="33">
        <f aca="true" t="shared" si="3" ref="K46:K53">0+G46</f>
        <v>0</v>
      </c>
      <c r="L46" s="33">
        <f>0+K46</f>
        <v>0</v>
      </c>
      <c r="M46" s="34">
        <f t="shared" si="2"/>
        <v>0</v>
      </c>
      <c r="N46" s="63">
        <f t="shared" si="2"/>
        <v>0</v>
      </c>
      <c r="O46" s="64">
        <v>0</v>
      </c>
      <c r="P46" s="65">
        <v>0</v>
      </c>
      <c r="Q46" s="1"/>
      <c r="R46" s="1"/>
    </row>
    <row r="47" spans="1:18" ht="14.25" customHeight="1" thickBot="1">
      <c r="A47" s="60" t="s">
        <v>73</v>
      </c>
      <c r="B47" s="77" t="s">
        <v>55</v>
      </c>
      <c r="C47" s="78"/>
      <c r="D47" s="78"/>
      <c r="E47" s="79"/>
      <c r="F47" s="31"/>
      <c r="G47" s="33"/>
      <c r="H47" s="74"/>
      <c r="I47" s="74"/>
      <c r="J47" s="62"/>
      <c r="K47" s="33">
        <f t="shared" si="3"/>
        <v>0</v>
      </c>
      <c r="L47" s="33">
        <f>0+K47</f>
        <v>0</v>
      </c>
      <c r="M47" s="34">
        <f t="shared" si="2"/>
        <v>0</v>
      </c>
      <c r="N47" s="63">
        <f t="shared" si="2"/>
        <v>0</v>
      </c>
      <c r="O47" s="64">
        <v>0</v>
      </c>
      <c r="P47" s="65">
        <v>0</v>
      </c>
      <c r="Q47" s="1"/>
      <c r="R47" s="80"/>
    </row>
    <row r="48" spans="1:18" ht="27.75" customHeight="1" thickBot="1">
      <c r="A48" s="60" t="s">
        <v>74</v>
      </c>
      <c r="B48" s="420" t="s">
        <v>75</v>
      </c>
      <c r="C48" s="421"/>
      <c r="D48" s="422"/>
      <c r="E48" s="156"/>
      <c r="F48" s="31">
        <f>1275000+E48</f>
        <v>1275000</v>
      </c>
      <c r="G48" s="74">
        <v>124723</v>
      </c>
      <c r="H48" s="74"/>
      <c r="I48" s="74"/>
      <c r="J48" s="62"/>
      <c r="K48" s="33">
        <f>0+G48</f>
        <v>124723</v>
      </c>
      <c r="L48" s="33">
        <f>1155082+K48</f>
        <v>1279805</v>
      </c>
      <c r="M48" s="34">
        <f>E48-K48</f>
        <v>-124723</v>
      </c>
      <c r="N48" s="63">
        <f t="shared" si="2"/>
        <v>-4805</v>
      </c>
      <c r="O48" s="64">
        <v>0</v>
      </c>
      <c r="P48" s="65">
        <v>0</v>
      </c>
      <c r="Q48" s="1"/>
      <c r="R48" s="37"/>
    </row>
    <row r="49" spans="1:18" ht="30" customHeight="1" thickBot="1">
      <c r="A49" s="60" t="s">
        <v>76</v>
      </c>
      <c r="B49" s="420" t="s">
        <v>77</v>
      </c>
      <c r="C49" s="421"/>
      <c r="D49" s="422"/>
      <c r="E49" s="156"/>
      <c r="F49" s="31">
        <f>25200+E49</f>
        <v>25200</v>
      </c>
      <c r="G49" s="74"/>
      <c r="H49" s="74"/>
      <c r="I49" s="74"/>
      <c r="J49" s="62"/>
      <c r="K49" s="33">
        <f t="shared" si="3"/>
        <v>0</v>
      </c>
      <c r="L49" s="33">
        <f>5087+K49</f>
        <v>5087</v>
      </c>
      <c r="M49" s="34">
        <f t="shared" si="2"/>
        <v>0</v>
      </c>
      <c r="N49" s="63">
        <f t="shared" si="2"/>
        <v>20113</v>
      </c>
      <c r="O49" s="64">
        <v>0</v>
      </c>
      <c r="P49" s="65">
        <v>0</v>
      </c>
      <c r="Q49" s="1"/>
      <c r="R49" s="1"/>
    </row>
    <row r="50" spans="1:18" ht="22.5" customHeight="1" thickBot="1">
      <c r="A50" s="60" t="s">
        <v>78</v>
      </c>
      <c r="B50" s="420" t="s">
        <v>79</v>
      </c>
      <c r="C50" s="421"/>
      <c r="D50" s="422"/>
      <c r="E50" s="74"/>
      <c r="F50" s="31">
        <f>0+E50</f>
        <v>0</v>
      </c>
      <c r="G50" s="74"/>
      <c r="H50" s="74"/>
      <c r="I50" s="74"/>
      <c r="J50" s="62"/>
      <c r="K50" s="33">
        <f t="shared" si="3"/>
        <v>0</v>
      </c>
      <c r="L50" s="33">
        <f aca="true" t="shared" si="4" ref="L50:L57">0+K50</f>
        <v>0</v>
      </c>
      <c r="M50" s="34">
        <f t="shared" si="2"/>
        <v>0</v>
      </c>
      <c r="N50" s="63">
        <f t="shared" si="2"/>
        <v>0</v>
      </c>
      <c r="O50" s="64">
        <v>0</v>
      </c>
      <c r="P50" s="65">
        <v>0</v>
      </c>
      <c r="Q50" s="1"/>
      <c r="R50" s="1"/>
    </row>
    <row r="51" spans="1:18" ht="44.25" customHeight="1" thickBot="1">
      <c r="A51" s="51" t="s">
        <v>80</v>
      </c>
      <c r="B51" s="423" t="s">
        <v>81</v>
      </c>
      <c r="C51" s="424"/>
      <c r="D51" s="425"/>
      <c r="E51" s="55">
        <v>0</v>
      </c>
      <c r="F51" s="55">
        <v>0</v>
      </c>
      <c r="G51" s="55"/>
      <c r="H51" s="55"/>
      <c r="I51" s="55"/>
      <c r="J51" s="54"/>
      <c r="K51" s="55">
        <f t="shared" si="3"/>
        <v>0</v>
      </c>
      <c r="L51" s="55">
        <f t="shared" si="4"/>
        <v>0</v>
      </c>
      <c r="M51" s="56">
        <f t="shared" si="2"/>
        <v>0</v>
      </c>
      <c r="N51" s="57">
        <f t="shared" si="2"/>
        <v>0</v>
      </c>
      <c r="O51" s="58">
        <v>0</v>
      </c>
      <c r="P51" s="59">
        <v>0</v>
      </c>
      <c r="Q51" s="1"/>
      <c r="R51" s="1"/>
    </row>
    <row r="52" spans="1:18" ht="27" customHeight="1" thickBot="1">
      <c r="A52" s="60" t="s">
        <v>82</v>
      </c>
      <c r="B52" s="405" t="s">
        <v>53</v>
      </c>
      <c r="C52" s="406"/>
      <c r="D52" s="407"/>
      <c r="E52" s="33"/>
      <c r="F52" s="33"/>
      <c r="G52" s="33"/>
      <c r="H52" s="33"/>
      <c r="I52" s="33"/>
      <c r="J52" s="62"/>
      <c r="K52" s="33">
        <f t="shared" si="3"/>
        <v>0</v>
      </c>
      <c r="L52" s="33">
        <f t="shared" si="4"/>
        <v>0</v>
      </c>
      <c r="M52" s="34">
        <f t="shared" si="2"/>
        <v>0</v>
      </c>
      <c r="N52" s="63">
        <f t="shared" si="2"/>
        <v>0</v>
      </c>
      <c r="O52" s="64">
        <v>0</v>
      </c>
      <c r="P52" s="65">
        <v>0</v>
      </c>
      <c r="Q52" s="1"/>
      <c r="R52" s="1"/>
    </row>
    <row r="53" spans="1:18" ht="21.75" customHeight="1" thickBot="1">
      <c r="A53" s="60" t="s">
        <v>83</v>
      </c>
      <c r="B53" s="457" t="s">
        <v>55</v>
      </c>
      <c r="C53" s="458"/>
      <c r="D53" s="459"/>
      <c r="E53" s="33"/>
      <c r="F53" s="33"/>
      <c r="G53" s="33"/>
      <c r="H53" s="33"/>
      <c r="I53" s="33"/>
      <c r="J53" s="62"/>
      <c r="K53" s="33">
        <f t="shared" si="3"/>
        <v>0</v>
      </c>
      <c r="L53" s="33">
        <f t="shared" si="4"/>
        <v>0</v>
      </c>
      <c r="M53" s="34">
        <f t="shared" si="2"/>
        <v>0</v>
      </c>
      <c r="N53" s="63">
        <f t="shared" si="2"/>
        <v>0</v>
      </c>
      <c r="O53" s="64">
        <v>0</v>
      </c>
      <c r="P53" s="65">
        <v>0</v>
      </c>
      <c r="Q53" s="1"/>
      <c r="R53" s="1"/>
    </row>
    <row r="54" spans="1:18" ht="56.25" customHeight="1" thickBot="1">
      <c r="A54" s="51" t="s">
        <v>84</v>
      </c>
      <c r="B54" s="408" t="s">
        <v>85</v>
      </c>
      <c r="C54" s="409"/>
      <c r="D54" s="410"/>
      <c r="E54" s="53">
        <f>SUM(E59:E63)</f>
        <v>37600</v>
      </c>
      <c r="F54" s="73">
        <f>F55+F58</f>
        <v>1377100</v>
      </c>
      <c r="G54" s="55">
        <f>G55+G56+G57+G58</f>
        <v>54815.96000000001</v>
      </c>
      <c r="H54" s="55"/>
      <c r="I54" s="55"/>
      <c r="J54" s="55">
        <f>J55+J56+J57+J58</f>
        <v>16171.26</v>
      </c>
      <c r="K54" s="55">
        <f>K55+K56+K57+K58</f>
        <v>70987.22</v>
      </c>
      <c r="L54" s="55">
        <f>L55+L56+L57+L58</f>
        <v>1485247.83</v>
      </c>
      <c r="M54" s="56">
        <f t="shared" si="2"/>
        <v>-33387.22</v>
      </c>
      <c r="N54" s="70">
        <f t="shared" si="2"/>
        <v>-108147.83000000007</v>
      </c>
      <c r="O54" s="58">
        <v>0</v>
      </c>
      <c r="P54" s="59">
        <v>0</v>
      </c>
      <c r="Q54" s="1"/>
      <c r="R54" s="37">
        <f>F59+F60+F62+F63-F58</f>
        <v>1323700</v>
      </c>
    </row>
    <row r="55" spans="1:18" ht="27.75" customHeight="1" thickBot="1">
      <c r="A55" s="60" t="s">
        <v>86</v>
      </c>
      <c r="B55" s="405" t="s">
        <v>53</v>
      </c>
      <c r="C55" s="406"/>
      <c r="D55" s="407"/>
      <c r="E55" s="81">
        <f>E59+E60+E62+E63-E58</f>
        <v>34600</v>
      </c>
      <c r="F55" s="31">
        <f>1289100+E55</f>
        <v>1323700</v>
      </c>
      <c r="G55" s="33">
        <f>G60+G62+G63+G59</f>
        <v>54815.96000000001</v>
      </c>
      <c r="H55" s="33"/>
      <c r="I55" s="33"/>
      <c r="J55" s="33"/>
      <c r="K55" s="33">
        <f>0+G55</f>
        <v>54815.96000000001</v>
      </c>
      <c r="L55" s="33">
        <f>1407861.86+K55</f>
        <v>1462677.82</v>
      </c>
      <c r="M55" s="34">
        <f t="shared" si="2"/>
        <v>-20215.960000000006</v>
      </c>
      <c r="N55" s="63">
        <f t="shared" si="2"/>
        <v>-138977.82000000007</v>
      </c>
      <c r="O55" s="64">
        <v>0</v>
      </c>
      <c r="P55" s="65">
        <v>0</v>
      </c>
      <c r="Q55" s="1"/>
      <c r="R55" s="37"/>
    </row>
    <row r="56" spans="1:18" ht="15.75" thickBot="1">
      <c r="A56" s="60" t="s">
        <v>87</v>
      </c>
      <c r="B56" s="411" t="s">
        <v>88</v>
      </c>
      <c r="C56" s="412"/>
      <c r="D56" s="413"/>
      <c r="E56" s="61"/>
      <c r="F56" s="31"/>
      <c r="G56" s="33"/>
      <c r="H56" s="33"/>
      <c r="I56" s="33"/>
      <c r="J56" s="33"/>
      <c r="K56" s="33">
        <f aca="true" t="shared" si="5" ref="K56:K61">0+G56</f>
        <v>0</v>
      </c>
      <c r="L56" s="33">
        <f t="shared" si="4"/>
        <v>0</v>
      </c>
      <c r="M56" s="34">
        <f aca="true" t="shared" si="6" ref="M56:N71">E56-K56</f>
        <v>0</v>
      </c>
      <c r="N56" s="63">
        <f t="shared" si="6"/>
        <v>0</v>
      </c>
      <c r="O56" s="64">
        <v>0</v>
      </c>
      <c r="P56" s="65">
        <v>0</v>
      </c>
      <c r="Q56" s="1"/>
      <c r="R56" s="37"/>
    </row>
    <row r="57" spans="1:18" ht="18" customHeight="1" thickBot="1">
      <c r="A57" s="60" t="s">
        <v>89</v>
      </c>
      <c r="B57" s="435" t="s">
        <v>55</v>
      </c>
      <c r="C57" s="436"/>
      <c r="D57" s="436"/>
      <c r="E57" s="82"/>
      <c r="F57" s="31"/>
      <c r="G57" s="33"/>
      <c r="H57" s="33"/>
      <c r="I57" s="33"/>
      <c r="J57" s="33"/>
      <c r="K57" s="33">
        <f t="shared" si="5"/>
        <v>0</v>
      </c>
      <c r="L57" s="33">
        <f t="shared" si="4"/>
        <v>0</v>
      </c>
      <c r="M57" s="34">
        <f t="shared" si="6"/>
        <v>0</v>
      </c>
      <c r="N57" s="63">
        <f t="shared" si="6"/>
        <v>0</v>
      </c>
      <c r="O57" s="64">
        <v>0</v>
      </c>
      <c r="P57" s="65">
        <v>0</v>
      </c>
      <c r="Q57" s="1"/>
      <c r="R57" s="37">
        <f>L59+L60+L61+L62+L63</f>
        <v>1485247.83</v>
      </c>
    </row>
    <row r="58" spans="1:18" ht="30.75" customHeight="1" thickBot="1">
      <c r="A58" s="60" t="s">
        <v>90</v>
      </c>
      <c r="B58" s="383" t="s">
        <v>40</v>
      </c>
      <c r="C58" s="384"/>
      <c r="D58" s="385"/>
      <c r="E58" s="155">
        <v>3000</v>
      </c>
      <c r="F58" s="31">
        <f>50400+E58</f>
        <v>53400</v>
      </c>
      <c r="G58" s="33"/>
      <c r="H58" s="33"/>
      <c r="I58" s="33"/>
      <c r="J58" s="33">
        <f>J62+J63+J59</f>
        <v>16171.26</v>
      </c>
      <c r="K58" s="33">
        <f>0+J58</f>
        <v>16171.26</v>
      </c>
      <c r="L58" s="33">
        <f>6398.75+K58</f>
        <v>22570.010000000002</v>
      </c>
      <c r="M58" s="34">
        <f t="shared" si="6"/>
        <v>-13171.26</v>
      </c>
      <c r="N58" s="63">
        <f t="shared" si="6"/>
        <v>30829.989999999998</v>
      </c>
      <c r="O58" s="64">
        <v>0</v>
      </c>
      <c r="P58" s="65">
        <v>0</v>
      </c>
      <c r="Q58" s="1"/>
      <c r="R58" s="37">
        <f>F59+F60+F62+F63</f>
        <v>1377100</v>
      </c>
    </row>
    <row r="59" spans="1:18" ht="27.75" customHeight="1" thickBot="1">
      <c r="A59" s="60" t="s">
        <v>91</v>
      </c>
      <c r="B59" s="437" t="s">
        <v>92</v>
      </c>
      <c r="C59" s="438"/>
      <c r="D59" s="439"/>
      <c r="E59" s="156">
        <v>30000</v>
      </c>
      <c r="F59" s="31">
        <f>410000+E59</f>
        <v>440000</v>
      </c>
      <c r="G59" s="74">
        <v>43966.69</v>
      </c>
      <c r="H59" s="74"/>
      <c r="I59" s="74"/>
      <c r="J59" s="33">
        <v>16171.26</v>
      </c>
      <c r="K59" s="33">
        <f>J59+G59</f>
        <v>60137.950000000004</v>
      </c>
      <c r="L59" s="33">
        <f>379073.58+K59</f>
        <v>439211.53</v>
      </c>
      <c r="M59" s="34">
        <f t="shared" si="6"/>
        <v>-30137.950000000004</v>
      </c>
      <c r="N59" s="35">
        <f t="shared" si="6"/>
        <v>788.4699999999721</v>
      </c>
      <c r="O59" s="64">
        <v>0</v>
      </c>
      <c r="P59" s="65">
        <v>0</v>
      </c>
      <c r="Q59" s="1"/>
      <c r="R59" s="80"/>
    </row>
    <row r="60" spans="1:18" ht="15.75" thickBot="1">
      <c r="A60" s="60" t="s">
        <v>93</v>
      </c>
      <c r="B60" s="426" t="s">
        <v>94</v>
      </c>
      <c r="C60" s="427"/>
      <c r="D60" s="427"/>
      <c r="E60" s="152"/>
      <c r="F60" s="31">
        <f>870000+E60</f>
        <v>870000</v>
      </c>
      <c r="G60" s="74"/>
      <c r="H60" s="74"/>
      <c r="I60" s="74"/>
      <c r="J60" s="33"/>
      <c r="K60" s="33">
        <f>0+G60</f>
        <v>0</v>
      </c>
      <c r="L60" s="33">
        <f>986172.22+K60</f>
        <v>986172.22</v>
      </c>
      <c r="M60" s="34">
        <f t="shared" si="6"/>
        <v>0</v>
      </c>
      <c r="N60" s="63">
        <f t="shared" si="6"/>
        <v>-116172.21999999997</v>
      </c>
      <c r="O60" s="64">
        <v>0</v>
      </c>
      <c r="P60" s="65">
        <v>0</v>
      </c>
      <c r="Q60" s="1"/>
      <c r="R60" s="37"/>
    </row>
    <row r="61" spans="1:18" ht="15.75" thickBot="1">
      <c r="A61" s="60" t="s">
        <v>93</v>
      </c>
      <c r="B61" s="440" t="s">
        <v>95</v>
      </c>
      <c r="C61" s="441"/>
      <c r="D61" s="442"/>
      <c r="E61" s="152"/>
      <c r="F61" s="31"/>
      <c r="G61" s="74"/>
      <c r="H61" s="74"/>
      <c r="I61" s="74"/>
      <c r="J61" s="33"/>
      <c r="K61" s="33">
        <f t="shared" si="5"/>
        <v>0</v>
      </c>
      <c r="L61" s="33">
        <f>0+K61</f>
        <v>0</v>
      </c>
      <c r="M61" s="34">
        <f t="shared" si="6"/>
        <v>0</v>
      </c>
      <c r="N61" s="63">
        <f t="shared" si="6"/>
        <v>0</v>
      </c>
      <c r="O61" s="64">
        <v>0</v>
      </c>
      <c r="P61" s="65">
        <v>0</v>
      </c>
      <c r="Q61" s="1"/>
      <c r="R61" s="1"/>
    </row>
    <row r="62" spans="1:18" ht="15.75" thickBot="1">
      <c r="A62" s="60" t="s">
        <v>96</v>
      </c>
      <c r="B62" s="426" t="s">
        <v>97</v>
      </c>
      <c r="C62" s="427"/>
      <c r="D62" s="428"/>
      <c r="E62" s="152">
        <v>4100</v>
      </c>
      <c r="F62" s="31">
        <f>31500+E62</f>
        <v>35600</v>
      </c>
      <c r="G62" s="83">
        <v>5793.81</v>
      </c>
      <c r="H62" s="84"/>
      <c r="I62" s="74"/>
      <c r="J62" s="74"/>
      <c r="K62" s="33">
        <f>0+J62+G62</f>
        <v>5793.81</v>
      </c>
      <c r="L62" s="33">
        <f>26175.28+K62</f>
        <v>31969.09</v>
      </c>
      <c r="M62" s="34">
        <f t="shared" si="6"/>
        <v>-1693.8100000000004</v>
      </c>
      <c r="N62" s="63">
        <f t="shared" si="6"/>
        <v>3630.91</v>
      </c>
      <c r="O62" s="64">
        <v>0</v>
      </c>
      <c r="P62" s="65">
        <v>0</v>
      </c>
      <c r="Q62" s="1"/>
      <c r="R62" s="1"/>
    </row>
    <row r="63" spans="1:18" ht="15.75" thickBot="1">
      <c r="A63" s="60" t="s">
        <v>98</v>
      </c>
      <c r="B63" s="426" t="s">
        <v>99</v>
      </c>
      <c r="C63" s="427"/>
      <c r="D63" s="428"/>
      <c r="E63" s="152">
        <v>3500</v>
      </c>
      <c r="F63" s="31">
        <f>28000+E63</f>
        <v>31500</v>
      </c>
      <c r="G63" s="85">
        <v>5055.46</v>
      </c>
      <c r="H63" s="74"/>
      <c r="I63" s="74"/>
      <c r="J63" s="74"/>
      <c r="K63" s="33">
        <f>0+J63+G63</f>
        <v>5055.46</v>
      </c>
      <c r="L63" s="33">
        <f>22839.53+K63</f>
        <v>27894.989999999998</v>
      </c>
      <c r="M63" s="34">
        <f t="shared" si="6"/>
        <v>-1555.46</v>
      </c>
      <c r="N63" s="63">
        <f t="shared" si="6"/>
        <v>3605.010000000002</v>
      </c>
      <c r="O63" s="64">
        <v>0</v>
      </c>
      <c r="P63" s="65">
        <v>0</v>
      </c>
      <c r="Q63" s="1"/>
      <c r="R63" s="1"/>
    </row>
    <row r="64" spans="1:18" ht="31.5" customHeight="1" thickBot="1">
      <c r="A64" s="86" t="s">
        <v>100</v>
      </c>
      <c r="B64" s="429" t="s">
        <v>101</v>
      </c>
      <c r="C64" s="430"/>
      <c r="D64" s="431"/>
      <c r="E64" s="53">
        <f>E65</f>
        <v>0</v>
      </c>
      <c r="F64" s="73">
        <f>F65+F66</f>
        <v>342500</v>
      </c>
      <c r="G64" s="75">
        <f>G65+G66</f>
        <v>0</v>
      </c>
      <c r="H64" s="55"/>
      <c r="I64" s="55">
        <f>I66</f>
        <v>0</v>
      </c>
      <c r="J64" s="55">
        <f>J65+J66</f>
        <v>0</v>
      </c>
      <c r="K64" s="55">
        <f>K65+K66</f>
        <v>0</v>
      </c>
      <c r="L64" s="55">
        <f>L65+L66</f>
        <v>57613</v>
      </c>
      <c r="M64" s="56">
        <f t="shared" si="6"/>
        <v>0</v>
      </c>
      <c r="N64" s="70">
        <f t="shared" si="6"/>
        <v>284887</v>
      </c>
      <c r="O64" s="58">
        <v>0</v>
      </c>
      <c r="P64" s="59">
        <v>0</v>
      </c>
      <c r="Q64" s="1"/>
      <c r="R64" s="1"/>
    </row>
    <row r="65" spans="1:18" ht="19.5" customHeight="1" thickBot="1">
      <c r="A65" s="60" t="s">
        <v>102</v>
      </c>
      <c r="B65" s="457" t="s">
        <v>53</v>
      </c>
      <c r="C65" s="458"/>
      <c r="D65" s="459"/>
      <c r="E65" s="45"/>
      <c r="F65" s="31">
        <f>342500+E65</f>
        <v>342500</v>
      </c>
      <c r="G65" s="74"/>
      <c r="H65" s="33"/>
      <c r="I65" s="33"/>
      <c r="J65" s="33"/>
      <c r="K65" s="33">
        <f>0+G65</f>
        <v>0</v>
      </c>
      <c r="L65" s="33">
        <f>57613+K65</f>
        <v>57613</v>
      </c>
      <c r="M65" s="34">
        <f t="shared" si="6"/>
        <v>0</v>
      </c>
      <c r="N65" s="35">
        <f t="shared" si="6"/>
        <v>284887</v>
      </c>
      <c r="O65" s="64">
        <v>0</v>
      </c>
      <c r="P65" s="65">
        <v>0</v>
      </c>
      <c r="Q65" s="1"/>
      <c r="R65" s="1"/>
    </row>
    <row r="66" spans="1:18" ht="21" customHeight="1" thickBot="1">
      <c r="A66" s="60" t="s">
        <v>103</v>
      </c>
      <c r="B66" s="435" t="s">
        <v>104</v>
      </c>
      <c r="C66" s="436"/>
      <c r="D66" s="490"/>
      <c r="E66" s="45"/>
      <c r="F66" s="31"/>
      <c r="G66" s="74"/>
      <c r="H66" s="33"/>
      <c r="I66" s="33"/>
      <c r="J66" s="33"/>
      <c r="K66" s="33">
        <f>0+I66</f>
        <v>0</v>
      </c>
      <c r="L66" s="33">
        <f>0+K66</f>
        <v>0</v>
      </c>
      <c r="M66" s="34">
        <f t="shared" si="6"/>
        <v>0</v>
      </c>
      <c r="N66" s="35">
        <f t="shared" si="6"/>
        <v>0</v>
      </c>
      <c r="O66" s="64">
        <v>0</v>
      </c>
      <c r="P66" s="65">
        <v>0</v>
      </c>
      <c r="Q66" s="1"/>
      <c r="R66" s="1"/>
    </row>
    <row r="67" spans="1:18" ht="41.25" customHeight="1" thickBot="1">
      <c r="A67" s="69" t="s">
        <v>105</v>
      </c>
      <c r="B67" s="432" t="s">
        <v>215</v>
      </c>
      <c r="C67" s="433"/>
      <c r="D67" s="434"/>
      <c r="E67" s="53">
        <f>E68</f>
        <v>0</v>
      </c>
      <c r="F67" s="73">
        <f>F68+F69+F70</f>
        <v>665000</v>
      </c>
      <c r="G67" s="75">
        <f>G68+G69</f>
        <v>0</v>
      </c>
      <c r="H67" s="55"/>
      <c r="I67" s="55"/>
      <c r="J67" s="55"/>
      <c r="K67" s="55">
        <f>K68+K69+K70</f>
        <v>0</v>
      </c>
      <c r="L67" s="55">
        <f>0+K67</f>
        <v>0</v>
      </c>
      <c r="M67" s="56">
        <f t="shared" si="6"/>
        <v>0</v>
      </c>
      <c r="N67" s="70">
        <f t="shared" si="6"/>
        <v>665000</v>
      </c>
      <c r="O67" s="58">
        <v>0</v>
      </c>
      <c r="P67" s="59">
        <v>0</v>
      </c>
      <c r="Q67" s="1"/>
      <c r="R67" s="37"/>
    </row>
    <row r="68" spans="1:18" ht="14.25" customHeight="1" thickBot="1">
      <c r="A68" s="60" t="s">
        <v>107</v>
      </c>
      <c r="B68" s="446" t="s">
        <v>53</v>
      </c>
      <c r="C68" s="447"/>
      <c r="D68" s="448"/>
      <c r="E68" s="61"/>
      <c r="F68" s="31">
        <f>665000+E68</f>
        <v>665000</v>
      </c>
      <c r="G68" s="74"/>
      <c r="H68" s="33"/>
      <c r="I68" s="33"/>
      <c r="J68" s="33"/>
      <c r="K68" s="33">
        <f>G68</f>
        <v>0</v>
      </c>
      <c r="L68" s="33">
        <f>0+K68</f>
        <v>0</v>
      </c>
      <c r="M68" s="34">
        <f>E68-K68</f>
        <v>0</v>
      </c>
      <c r="N68" s="35">
        <f t="shared" si="6"/>
        <v>665000</v>
      </c>
      <c r="O68" s="64">
        <v>0</v>
      </c>
      <c r="P68" s="65">
        <v>0</v>
      </c>
      <c r="Q68" s="1"/>
      <c r="R68" s="37"/>
    </row>
    <row r="69" spans="1:18" ht="15.75" thickBot="1">
      <c r="A69" s="60" t="s">
        <v>108</v>
      </c>
      <c r="B69" s="435" t="s">
        <v>104</v>
      </c>
      <c r="C69" s="436"/>
      <c r="D69" s="490"/>
      <c r="E69" s="61"/>
      <c r="F69" s="31"/>
      <c r="G69" s="74"/>
      <c r="H69" s="33"/>
      <c r="I69" s="33"/>
      <c r="J69" s="33"/>
      <c r="K69" s="33">
        <f>G69</f>
        <v>0</v>
      </c>
      <c r="L69" s="33">
        <f>0+K69</f>
        <v>0</v>
      </c>
      <c r="M69" s="34">
        <f t="shared" si="6"/>
        <v>0</v>
      </c>
      <c r="N69" s="35">
        <f t="shared" si="6"/>
        <v>0</v>
      </c>
      <c r="O69" s="64">
        <v>0</v>
      </c>
      <c r="P69" s="65">
        <v>0</v>
      </c>
      <c r="Q69" s="1"/>
      <c r="R69" s="37"/>
    </row>
    <row r="70" spans="1:18" ht="15.75" thickBot="1">
      <c r="A70" s="60" t="s">
        <v>109</v>
      </c>
      <c r="B70" s="446" t="s">
        <v>55</v>
      </c>
      <c r="C70" s="447"/>
      <c r="D70" s="448"/>
      <c r="E70" s="81"/>
      <c r="F70" s="31"/>
      <c r="G70" s="74"/>
      <c r="H70" s="33"/>
      <c r="I70" s="33"/>
      <c r="J70" s="33"/>
      <c r="K70" s="33">
        <f>0+J70</f>
        <v>0</v>
      </c>
      <c r="L70" s="33">
        <f>0+K70</f>
        <v>0</v>
      </c>
      <c r="M70" s="34">
        <f t="shared" si="6"/>
        <v>0</v>
      </c>
      <c r="N70" s="35">
        <f t="shared" si="6"/>
        <v>0</v>
      </c>
      <c r="O70" s="64">
        <v>0</v>
      </c>
      <c r="P70" s="65">
        <v>0</v>
      </c>
      <c r="Q70" s="1"/>
      <c r="R70" s="37"/>
    </row>
    <row r="71" spans="1:18" ht="25.5" customHeight="1" thickBot="1">
      <c r="A71" s="87" t="s">
        <v>110</v>
      </c>
      <c r="B71" s="443" t="s">
        <v>111</v>
      </c>
      <c r="C71" s="444"/>
      <c r="D71" s="445"/>
      <c r="E71" s="53">
        <f>E72+E73</f>
        <v>0</v>
      </c>
      <c r="F71" s="73">
        <f>F72</f>
        <v>19500</v>
      </c>
      <c r="G71" s="75">
        <f>G72+G73</f>
        <v>0</v>
      </c>
      <c r="H71" s="55"/>
      <c r="I71" s="55"/>
      <c r="J71" s="55"/>
      <c r="K71" s="55">
        <f>G71</f>
        <v>0</v>
      </c>
      <c r="L71" s="55">
        <f>L72</f>
        <v>21186</v>
      </c>
      <c r="M71" s="56">
        <f t="shared" si="6"/>
        <v>0</v>
      </c>
      <c r="N71" s="70">
        <f t="shared" si="6"/>
        <v>-1686</v>
      </c>
      <c r="O71" s="58">
        <v>0</v>
      </c>
      <c r="P71" s="59">
        <v>0</v>
      </c>
      <c r="Q71" s="1"/>
      <c r="R71" s="1"/>
    </row>
    <row r="72" spans="1:18" ht="15.75" thickBot="1">
      <c r="A72" s="60" t="s">
        <v>107</v>
      </c>
      <c r="B72" s="405" t="s">
        <v>53</v>
      </c>
      <c r="C72" s="406"/>
      <c r="D72" s="407"/>
      <c r="E72" s="61"/>
      <c r="F72" s="31">
        <f>19500+E72</f>
        <v>19500</v>
      </c>
      <c r="G72" s="74"/>
      <c r="H72" s="33"/>
      <c r="I72" s="33"/>
      <c r="J72" s="33"/>
      <c r="K72" s="33">
        <f>G72</f>
        <v>0</v>
      </c>
      <c r="L72" s="33">
        <f>21186+K72</f>
        <v>21186</v>
      </c>
      <c r="M72" s="34">
        <f aca="true" t="shared" si="7" ref="M72:N82">E72-K72</f>
        <v>0</v>
      </c>
      <c r="N72" s="35">
        <f t="shared" si="7"/>
        <v>-1686</v>
      </c>
      <c r="O72" s="64">
        <v>0</v>
      </c>
      <c r="P72" s="65">
        <v>0</v>
      </c>
      <c r="Q72" s="1"/>
      <c r="R72" s="1"/>
    </row>
    <row r="73" spans="1:18" ht="15.75" thickBot="1">
      <c r="A73" s="60" t="s">
        <v>109</v>
      </c>
      <c r="B73" s="405" t="s">
        <v>55</v>
      </c>
      <c r="C73" s="406"/>
      <c r="D73" s="407"/>
      <c r="E73" s="81"/>
      <c r="F73" s="31"/>
      <c r="G73" s="74"/>
      <c r="H73" s="33"/>
      <c r="I73" s="33"/>
      <c r="J73" s="33"/>
      <c r="K73" s="33">
        <f>0+J73</f>
        <v>0</v>
      </c>
      <c r="L73" s="33">
        <f>0+K73</f>
        <v>0</v>
      </c>
      <c r="M73" s="34">
        <f t="shared" si="7"/>
        <v>0</v>
      </c>
      <c r="N73" s="35">
        <f t="shared" si="7"/>
        <v>0</v>
      </c>
      <c r="O73" s="64">
        <v>0</v>
      </c>
      <c r="P73" s="65">
        <v>0</v>
      </c>
      <c r="Q73" s="1"/>
      <c r="R73" s="1"/>
    </row>
    <row r="74" spans="1:18" ht="45.75" customHeight="1" thickBot="1">
      <c r="A74" s="87" t="s">
        <v>112</v>
      </c>
      <c r="B74" s="443" t="s">
        <v>113</v>
      </c>
      <c r="C74" s="444"/>
      <c r="D74" s="445"/>
      <c r="E74" s="53">
        <f>E75</f>
        <v>0</v>
      </c>
      <c r="F74" s="73">
        <f>F75+F76</f>
        <v>212000</v>
      </c>
      <c r="G74" s="75">
        <f>G75+G76+G77</f>
        <v>1124</v>
      </c>
      <c r="H74" s="55"/>
      <c r="I74" s="55">
        <f>I75+I76</f>
        <v>0</v>
      </c>
      <c r="J74" s="55"/>
      <c r="K74" s="55">
        <f>K75+K76+K77</f>
        <v>1124</v>
      </c>
      <c r="L74" s="55">
        <f>L75+L76+L77</f>
        <v>101089.79</v>
      </c>
      <c r="M74" s="56">
        <f t="shared" si="7"/>
        <v>-1124</v>
      </c>
      <c r="N74" s="70">
        <f t="shared" si="7"/>
        <v>110910.21</v>
      </c>
      <c r="O74" s="58">
        <v>0</v>
      </c>
      <c r="P74" s="59">
        <v>0</v>
      </c>
      <c r="Q74" s="1"/>
      <c r="R74" s="1"/>
    </row>
    <row r="75" spans="1:18" ht="15.75" customHeight="1" thickBot="1">
      <c r="A75" s="60" t="s">
        <v>114</v>
      </c>
      <c r="B75" s="405" t="s">
        <v>53</v>
      </c>
      <c r="C75" s="406"/>
      <c r="D75" s="407"/>
      <c r="E75" s="61"/>
      <c r="F75" s="31">
        <f>212000+E75</f>
        <v>212000</v>
      </c>
      <c r="G75" s="74">
        <v>1124</v>
      </c>
      <c r="H75" s="33"/>
      <c r="I75" s="33"/>
      <c r="J75" s="33"/>
      <c r="K75" s="33">
        <f>G75</f>
        <v>1124</v>
      </c>
      <c r="L75" s="33">
        <f>99965.79+K75</f>
        <v>101089.79</v>
      </c>
      <c r="M75" s="34">
        <f>E75-K75</f>
        <v>-1124</v>
      </c>
      <c r="N75" s="35">
        <f t="shared" si="7"/>
        <v>110910.21</v>
      </c>
      <c r="O75" s="64">
        <v>0</v>
      </c>
      <c r="P75" s="65">
        <v>0</v>
      </c>
      <c r="Q75" s="1"/>
      <c r="R75" s="1"/>
    </row>
    <row r="76" spans="1:18" ht="15.75" thickBot="1">
      <c r="A76" s="60" t="s">
        <v>115</v>
      </c>
      <c r="B76" s="435" t="s">
        <v>104</v>
      </c>
      <c r="C76" s="436"/>
      <c r="D76" s="490"/>
      <c r="E76" s="81"/>
      <c r="F76" s="31"/>
      <c r="G76" s="74"/>
      <c r="H76" s="33"/>
      <c r="I76" s="33"/>
      <c r="J76" s="33"/>
      <c r="K76" s="33">
        <f>I76</f>
        <v>0</v>
      </c>
      <c r="L76" s="33">
        <f>0+K76</f>
        <v>0</v>
      </c>
      <c r="M76" s="34">
        <f t="shared" si="7"/>
        <v>0</v>
      </c>
      <c r="N76" s="35">
        <f t="shared" si="7"/>
        <v>0</v>
      </c>
      <c r="O76" s="64">
        <v>0</v>
      </c>
      <c r="P76" s="65">
        <v>0</v>
      </c>
      <c r="Q76" s="1"/>
      <c r="R76" s="1"/>
    </row>
    <row r="77" spans="1:18" ht="15.75" thickBot="1">
      <c r="A77" s="60" t="s">
        <v>116</v>
      </c>
      <c r="B77" s="405" t="s">
        <v>55</v>
      </c>
      <c r="C77" s="406"/>
      <c r="D77" s="407"/>
      <c r="E77" s="61"/>
      <c r="F77" s="31"/>
      <c r="G77" s="74"/>
      <c r="H77" s="33"/>
      <c r="I77" s="33"/>
      <c r="J77" s="33"/>
      <c r="K77" s="33">
        <f>0+J77</f>
        <v>0</v>
      </c>
      <c r="L77" s="33">
        <f>0+K77</f>
        <v>0</v>
      </c>
      <c r="M77" s="34">
        <f t="shared" si="7"/>
        <v>0</v>
      </c>
      <c r="N77" s="35">
        <f t="shared" si="7"/>
        <v>0</v>
      </c>
      <c r="O77" s="64">
        <v>0</v>
      </c>
      <c r="P77" s="65">
        <v>0</v>
      </c>
      <c r="Q77" s="1"/>
      <c r="R77" s="1"/>
    </row>
    <row r="78" spans="1:18" ht="60.75" customHeight="1" thickBot="1">
      <c r="A78" s="69" t="s">
        <v>117</v>
      </c>
      <c r="B78" s="408" t="s">
        <v>118</v>
      </c>
      <c r="C78" s="409"/>
      <c r="D78" s="410"/>
      <c r="E78" s="53">
        <f>E79</f>
        <v>0</v>
      </c>
      <c r="F78" s="73">
        <f>F79</f>
        <v>2000</v>
      </c>
      <c r="G78" s="75">
        <f>G79</f>
        <v>0</v>
      </c>
      <c r="H78" s="55"/>
      <c r="I78" s="55"/>
      <c r="J78" s="55"/>
      <c r="K78" s="55">
        <f>0+J78+G78</f>
        <v>0</v>
      </c>
      <c r="L78" s="55">
        <f>L79</f>
        <v>1973.5</v>
      </c>
      <c r="M78" s="56">
        <f t="shared" si="7"/>
        <v>0</v>
      </c>
      <c r="N78" s="70">
        <f t="shared" si="7"/>
        <v>26.5</v>
      </c>
      <c r="O78" s="58">
        <v>0</v>
      </c>
      <c r="P78" s="59">
        <v>0</v>
      </c>
      <c r="Q78" s="1"/>
      <c r="R78" s="1"/>
    </row>
    <row r="79" spans="1:18" ht="27.75" customHeight="1" thickBot="1">
      <c r="A79" s="60" t="s">
        <v>119</v>
      </c>
      <c r="B79" s="405" t="s">
        <v>53</v>
      </c>
      <c r="C79" s="406"/>
      <c r="D79" s="407"/>
      <c r="E79" s="81">
        <v>0</v>
      </c>
      <c r="F79" s="31">
        <f>2000+E79</f>
        <v>2000</v>
      </c>
      <c r="G79" s="74"/>
      <c r="H79" s="33"/>
      <c r="I79" s="33"/>
      <c r="J79" s="33"/>
      <c r="K79" s="33">
        <f>0+J79+G79</f>
        <v>0</v>
      </c>
      <c r="L79" s="33">
        <f>1973.5+K79</f>
        <v>1973.5</v>
      </c>
      <c r="M79" s="34">
        <f>E79-K79</f>
        <v>0</v>
      </c>
      <c r="N79" s="35">
        <f t="shared" si="7"/>
        <v>26.5</v>
      </c>
      <c r="O79" s="64">
        <v>0</v>
      </c>
      <c r="P79" s="65">
        <v>0</v>
      </c>
      <c r="Q79" s="1"/>
      <c r="R79" s="1"/>
    </row>
    <row r="80" spans="1:18" ht="24" customHeight="1" thickBot="1">
      <c r="A80" s="69" t="s">
        <v>120</v>
      </c>
      <c r="B80" s="408" t="s">
        <v>121</v>
      </c>
      <c r="C80" s="409"/>
      <c r="D80" s="410"/>
      <c r="E80" s="53">
        <f>E81</f>
        <v>0</v>
      </c>
      <c r="F80" s="73">
        <f>F81</f>
        <v>18500</v>
      </c>
      <c r="G80" s="75">
        <f>G81</f>
        <v>0</v>
      </c>
      <c r="H80" s="55"/>
      <c r="I80" s="55"/>
      <c r="J80" s="55"/>
      <c r="K80" s="55">
        <f>0+J80+G80</f>
        <v>0</v>
      </c>
      <c r="L80" s="55">
        <f>L81</f>
        <v>12592.98</v>
      </c>
      <c r="M80" s="56">
        <f t="shared" si="7"/>
        <v>0</v>
      </c>
      <c r="N80" s="70">
        <f t="shared" si="7"/>
        <v>5907.02</v>
      </c>
      <c r="O80" s="58">
        <v>0</v>
      </c>
      <c r="P80" s="59">
        <v>0</v>
      </c>
      <c r="Q80" s="1"/>
      <c r="R80" s="1"/>
    </row>
    <row r="81" spans="1:18" ht="15.75" thickBot="1">
      <c r="A81" s="60" t="s">
        <v>122</v>
      </c>
      <c r="B81" s="435" t="s">
        <v>53</v>
      </c>
      <c r="C81" s="436"/>
      <c r="D81" s="490"/>
      <c r="E81" s="81">
        <v>0</v>
      </c>
      <c r="F81" s="31">
        <f>18500+E81</f>
        <v>18500</v>
      </c>
      <c r="G81" s="89"/>
      <c r="H81" s="90"/>
      <c r="I81" s="91"/>
      <c r="J81" s="90"/>
      <c r="K81" s="33">
        <f>0+J81+G81</f>
        <v>0</v>
      </c>
      <c r="L81" s="33">
        <f>12592.98+L82</f>
        <v>12592.98</v>
      </c>
      <c r="M81" s="34">
        <f t="shared" si="7"/>
        <v>0</v>
      </c>
      <c r="N81" s="35">
        <f t="shared" si="7"/>
        <v>5907.02</v>
      </c>
      <c r="O81" s="64">
        <v>0</v>
      </c>
      <c r="P81" s="65">
        <v>0</v>
      </c>
      <c r="Q81" s="1"/>
      <c r="R81" s="1"/>
    </row>
    <row r="82" spans="1:18" ht="15.75" thickBot="1">
      <c r="A82" s="60" t="s">
        <v>123</v>
      </c>
      <c r="B82" s="435" t="s">
        <v>55</v>
      </c>
      <c r="C82" s="436"/>
      <c r="D82" s="490"/>
      <c r="E82" s="81"/>
      <c r="F82" s="33"/>
      <c r="G82" s="74"/>
      <c r="H82" s="92"/>
      <c r="I82" s="33"/>
      <c r="J82" s="92"/>
      <c r="K82" s="33">
        <f>0+J82</f>
        <v>0</v>
      </c>
      <c r="L82" s="33">
        <v>0</v>
      </c>
      <c r="M82" s="34">
        <f>E82-K82</f>
        <v>0</v>
      </c>
      <c r="N82" s="35">
        <f t="shared" si="7"/>
        <v>0</v>
      </c>
      <c r="O82" s="64">
        <v>0</v>
      </c>
      <c r="P82" s="65">
        <v>0</v>
      </c>
      <c r="Q82" s="1"/>
      <c r="R82" s="1"/>
    </row>
    <row r="83" spans="1:18" ht="15">
      <c r="A83" s="449"/>
      <c r="B83" s="451" t="s">
        <v>43</v>
      </c>
      <c r="C83" s="452"/>
      <c r="D83" s="452"/>
      <c r="E83" s="452"/>
      <c r="F83" s="452"/>
      <c r="G83" s="452"/>
      <c r="H83" s="452"/>
      <c r="I83" s="452"/>
      <c r="J83" s="452"/>
      <c r="K83" s="452"/>
      <c r="L83" s="452"/>
      <c r="M83" s="452"/>
      <c r="N83" s="452"/>
      <c r="O83" s="452"/>
      <c r="P83" s="453"/>
      <c r="Q83" s="1"/>
      <c r="R83" s="1"/>
    </row>
    <row r="84" spans="1:18" ht="3.75" customHeight="1" thickBot="1">
      <c r="A84" s="450"/>
      <c r="B84" s="454"/>
      <c r="C84" s="455"/>
      <c r="D84" s="455"/>
      <c r="E84" s="455"/>
      <c r="F84" s="455"/>
      <c r="G84" s="455"/>
      <c r="H84" s="455"/>
      <c r="I84" s="455"/>
      <c r="J84" s="455"/>
      <c r="K84" s="455"/>
      <c r="L84" s="455"/>
      <c r="M84" s="455"/>
      <c r="N84" s="455"/>
      <c r="O84" s="455"/>
      <c r="P84" s="456"/>
      <c r="Q84" s="1"/>
      <c r="R84" s="1"/>
    </row>
    <row r="85" spans="1:18" ht="15.75" thickBot="1">
      <c r="A85" s="449"/>
      <c r="B85" s="364" t="s">
        <v>14</v>
      </c>
      <c r="C85" s="365"/>
      <c r="D85" s="366"/>
      <c r="E85" s="401" t="s">
        <v>24</v>
      </c>
      <c r="F85" s="403" t="s">
        <v>25</v>
      </c>
      <c r="G85" s="338" t="s">
        <v>44</v>
      </c>
      <c r="H85" s="321"/>
      <c r="I85" s="321"/>
      <c r="J85" s="321"/>
      <c r="K85" s="339"/>
      <c r="L85" s="340" t="s">
        <v>16</v>
      </c>
      <c r="M85" s="340" t="s">
        <v>17</v>
      </c>
      <c r="N85" s="340" t="s">
        <v>18</v>
      </c>
      <c r="O85" s="340" t="s">
        <v>19</v>
      </c>
      <c r="P85" s="340" t="s">
        <v>20</v>
      </c>
      <c r="Q85" s="1"/>
      <c r="R85" s="1"/>
    </row>
    <row r="86" spans="1:18" ht="94.5" customHeight="1" thickBot="1">
      <c r="A86" s="450"/>
      <c r="B86" s="367"/>
      <c r="C86" s="368"/>
      <c r="D86" s="369"/>
      <c r="E86" s="402"/>
      <c r="F86" s="404"/>
      <c r="G86" s="226" t="s">
        <v>45</v>
      </c>
      <c r="H86" s="226" t="s">
        <v>46</v>
      </c>
      <c r="I86" s="226" t="s">
        <v>47</v>
      </c>
      <c r="J86" s="7" t="s">
        <v>124</v>
      </c>
      <c r="K86" s="8" t="s">
        <v>27</v>
      </c>
      <c r="L86" s="341"/>
      <c r="M86" s="341"/>
      <c r="N86" s="341"/>
      <c r="O86" s="341"/>
      <c r="P86" s="341"/>
      <c r="Q86" s="1"/>
      <c r="R86" s="1" t="s">
        <v>216</v>
      </c>
    </row>
    <row r="87" spans="1:18" ht="15" customHeight="1" thickBot="1">
      <c r="A87" s="60"/>
      <c r="B87" s="342">
        <v>1</v>
      </c>
      <c r="C87" s="343"/>
      <c r="D87" s="344"/>
      <c r="E87" s="17" t="s">
        <v>22</v>
      </c>
      <c r="F87" s="226">
        <v>3</v>
      </c>
      <c r="G87" s="226">
        <v>4</v>
      </c>
      <c r="H87" s="226">
        <v>5</v>
      </c>
      <c r="I87" s="7">
        <v>6</v>
      </c>
      <c r="J87" s="7">
        <v>7</v>
      </c>
      <c r="K87" s="48">
        <v>8</v>
      </c>
      <c r="L87" s="223">
        <v>9</v>
      </c>
      <c r="M87" s="7">
        <v>10</v>
      </c>
      <c r="N87" s="223">
        <v>11</v>
      </c>
      <c r="O87" s="7">
        <v>12</v>
      </c>
      <c r="P87" s="223">
        <v>13</v>
      </c>
      <c r="Q87" s="1"/>
      <c r="R87" s="1"/>
    </row>
    <row r="88" spans="1:18" ht="44.25" customHeight="1" thickBot="1">
      <c r="A88" s="51" t="s">
        <v>125</v>
      </c>
      <c r="B88" s="408" t="s">
        <v>126</v>
      </c>
      <c r="C88" s="409"/>
      <c r="D88" s="410"/>
      <c r="E88" s="53">
        <f>E89</f>
        <v>26380</v>
      </c>
      <c r="F88" s="73">
        <f>F89+F90+F91+F92</f>
        <v>218660</v>
      </c>
      <c r="G88" s="53">
        <f>G89+G90+G91+G92</f>
        <v>27321.39</v>
      </c>
      <c r="H88" s="55"/>
      <c r="I88" s="55">
        <f>I89+I90+I91</f>
        <v>0</v>
      </c>
      <c r="J88" s="55"/>
      <c r="K88" s="93">
        <f>K89+K90+K91+K92</f>
        <v>27321.39</v>
      </c>
      <c r="L88" s="55">
        <f>L89+L90+L91+L92</f>
        <v>198114.59</v>
      </c>
      <c r="M88" s="56">
        <f aca="true" t="shared" si="8" ref="M88:N103">E88-K88</f>
        <v>-941.3899999999994</v>
      </c>
      <c r="N88" s="70">
        <f t="shared" si="8"/>
        <v>20545.410000000003</v>
      </c>
      <c r="O88" s="58">
        <v>0</v>
      </c>
      <c r="P88" s="59">
        <v>0</v>
      </c>
      <c r="Q88" s="37"/>
      <c r="R88" s="1"/>
    </row>
    <row r="89" spans="1:18" ht="15.75" thickBot="1">
      <c r="A89" s="60" t="s">
        <v>127</v>
      </c>
      <c r="B89" s="405" t="s">
        <v>53</v>
      </c>
      <c r="C89" s="406"/>
      <c r="D89" s="407"/>
      <c r="E89" s="61">
        <f>E93+E94+E96+E97+E98+E100+E99+E95</f>
        <v>26380</v>
      </c>
      <c r="F89" s="31">
        <f>192280+E89</f>
        <v>218660</v>
      </c>
      <c r="G89" s="45">
        <f>G94+G96+G97+G98+G93+G100</f>
        <v>27321.39</v>
      </c>
      <c r="H89" s="33"/>
      <c r="I89" s="33"/>
      <c r="J89" s="33"/>
      <c r="K89" s="94">
        <f>G89</f>
        <v>27321.39</v>
      </c>
      <c r="L89" s="33">
        <f>L93+L94+L96+L97+L98+L99+L100+L95</f>
        <v>198114.59</v>
      </c>
      <c r="M89" s="34">
        <f t="shared" si="8"/>
        <v>-941.3899999999994</v>
      </c>
      <c r="N89" s="35">
        <f t="shared" si="8"/>
        <v>20545.410000000003</v>
      </c>
      <c r="O89" s="64">
        <v>0</v>
      </c>
      <c r="P89" s="65">
        <v>0</v>
      </c>
      <c r="Q89" s="37"/>
      <c r="R89" s="1"/>
    </row>
    <row r="90" spans="1:18" ht="15.75" thickBot="1">
      <c r="A90" s="60" t="s">
        <v>128</v>
      </c>
      <c r="B90" s="457" t="s">
        <v>51</v>
      </c>
      <c r="C90" s="458"/>
      <c r="D90" s="459"/>
      <c r="E90" s="61"/>
      <c r="F90" s="31"/>
      <c r="G90" s="45"/>
      <c r="H90" s="33"/>
      <c r="I90" s="33"/>
      <c r="J90" s="33"/>
      <c r="K90" s="94">
        <f aca="true" t="shared" si="9" ref="K90:K99">G90</f>
        <v>0</v>
      </c>
      <c r="L90" s="33"/>
      <c r="M90" s="34">
        <f t="shared" si="8"/>
        <v>0</v>
      </c>
      <c r="N90" s="35">
        <f t="shared" si="8"/>
        <v>0</v>
      </c>
      <c r="O90" s="64">
        <v>0</v>
      </c>
      <c r="P90" s="65">
        <v>0</v>
      </c>
      <c r="Q90" s="37"/>
      <c r="R90" s="1"/>
    </row>
    <row r="91" spans="1:18" ht="30" customHeight="1" thickBot="1">
      <c r="A91" s="60" t="s">
        <v>129</v>
      </c>
      <c r="B91" s="405" t="s">
        <v>104</v>
      </c>
      <c r="C91" s="406"/>
      <c r="D91" s="407"/>
      <c r="E91" s="61"/>
      <c r="F91" s="31"/>
      <c r="G91" s="45"/>
      <c r="H91" s="33"/>
      <c r="I91" s="33">
        <f>I97</f>
        <v>0</v>
      </c>
      <c r="J91" s="33"/>
      <c r="K91" s="94">
        <f>I91</f>
        <v>0</v>
      </c>
      <c r="L91" s="33">
        <f>0+K91</f>
        <v>0</v>
      </c>
      <c r="M91" s="34">
        <f t="shared" si="8"/>
        <v>0</v>
      </c>
      <c r="N91" s="35">
        <f t="shared" si="8"/>
        <v>0</v>
      </c>
      <c r="O91" s="64">
        <v>0</v>
      </c>
      <c r="P91" s="65">
        <v>0</v>
      </c>
      <c r="Q91" s="37"/>
      <c r="R91" s="1"/>
    </row>
    <row r="92" spans="1:18" ht="15.75" thickBot="1">
      <c r="A92" s="60" t="s">
        <v>130</v>
      </c>
      <c r="B92" s="405" t="s">
        <v>55</v>
      </c>
      <c r="C92" s="406"/>
      <c r="D92" s="407"/>
      <c r="E92" s="61"/>
      <c r="F92" s="31"/>
      <c r="G92" s="45"/>
      <c r="H92" s="33"/>
      <c r="I92" s="33"/>
      <c r="J92" s="33"/>
      <c r="K92" s="94">
        <f t="shared" si="9"/>
        <v>0</v>
      </c>
      <c r="L92" s="33">
        <f>0+K92</f>
        <v>0</v>
      </c>
      <c r="M92" s="34">
        <f t="shared" si="8"/>
        <v>0</v>
      </c>
      <c r="N92" s="35">
        <f t="shared" si="8"/>
        <v>0</v>
      </c>
      <c r="O92" s="64">
        <v>0</v>
      </c>
      <c r="P92" s="65">
        <v>0</v>
      </c>
      <c r="Q92" s="37"/>
      <c r="R92" s="80">
        <f>L93+L94+L95+L96+L97+L98+L99+L100</f>
        <v>198114.59</v>
      </c>
    </row>
    <row r="93" spans="1:18" ht="22.5" customHeight="1" thickBot="1">
      <c r="A93" s="60" t="s">
        <v>131</v>
      </c>
      <c r="B93" s="420" t="s">
        <v>132</v>
      </c>
      <c r="C93" s="421"/>
      <c r="D93" s="422"/>
      <c r="E93" s="152">
        <v>3150</v>
      </c>
      <c r="F93" s="31">
        <f>15750+E93</f>
        <v>18900</v>
      </c>
      <c r="G93" s="45">
        <v>6000</v>
      </c>
      <c r="H93" s="74"/>
      <c r="I93" s="74"/>
      <c r="J93" s="74"/>
      <c r="K93" s="94">
        <f t="shared" si="9"/>
        <v>6000</v>
      </c>
      <c r="L93" s="33">
        <f>15000+K93</f>
        <v>21000</v>
      </c>
      <c r="M93" s="34">
        <f t="shared" si="8"/>
        <v>-2850</v>
      </c>
      <c r="N93" s="35">
        <f t="shared" si="8"/>
        <v>-2100</v>
      </c>
      <c r="O93" s="64">
        <v>0</v>
      </c>
      <c r="P93" s="65">
        <v>0</v>
      </c>
      <c r="Q93" s="1"/>
      <c r="R93" s="37">
        <f>L89+L90+L91+L92</f>
        <v>198114.59</v>
      </c>
    </row>
    <row r="94" spans="1:18" ht="28.5" customHeight="1" thickBot="1">
      <c r="A94" s="60" t="s">
        <v>133</v>
      </c>
      <c r="B94" s="414" t="s">
        <v>134</v>
      </c>
      <c r="C94" s="415"/>
      <c r="D94" s="416"/>
      <c r="E94" s="152">
        <v>4600</v>
      </c>
      <c r="F94" s="31">
        <f>23000+E94</f>
        <v>27600</v>
      </c>
      <c r="G94" s="45">
        <v>4800</v>
      </c>
      <c r="H94" s="74"/>
      <c r="I94" s="74"/>
      <c r="J94" s="74"/>
      <c r="K94" s="94">
        <f>G94</f>
        <v>4800</v>
      </c>
      <c r="L94" s="33">
        <f>26400+K94</f>
        <v>31200</v>
      </c>
      <c r="M94" s="34">
        <f t="shared" si="8"/>
        <v>-200</v>
      </c>
      <c r="N94" s="35">
        <f t="shared" si="8"/>
        <v>-3600</v>
      </c>
      <c r="O94" s="64">
        <v>0</v>
      </c>
      <c r="P94" s="65">
        <v>0</v>
      </c>
      <c r="Q94" s="1"/>
      <c r="R94" s="1"/>
    </row>
    <row r="95" spans="1:18" ht="34.5" customHeight="1" thickBot="1">
      <c r="A95" s="60" t="s">
        <v>135</v>
      </c>
      <c r="B95" s="420" t="s">
        <v>136</v>
      </c>
      <c r="C95" s="421"/>
      <c r="D95" s="422"/>
      <c r="E95" s="152"/>
      <c r="F95" s="31">
        <f>0+E95</f>
        <v>0</v>
      </c>
      <c r="G95" s="45"/>
      <c r="H95" s="74"/>
      <c r="I95" s="74"/>
      <c r="J95" s="74"/>
      <c r="K95" s="94">
        <f t="shared" si="9"/>
        <v>0</v>
      </c>
      <c r="L95" s="33">
        <f>0+K95</f>
        <v>0</v>
      </c>
      <c r="M95" s="34">
        <f t="shared" si="8"/>
        <v>0</v>
      </c>
      <c r="N95" s="35">
        <f t="shared" si="8"/>
        <v>0</v>
      </c>
      <c r="O95" s="64">
        <v>0</v>
      </c>
      <c r="P95" s="65">
        <v>0</v>
      </c>
      <c r="Q95" s="1"/>
      <c r="R95" s="1"/>
    </row>
    <row r="96" spans="1:18" ht="33" customHeight="1" thickBot="1">
      <c r="A96" s="60" t="s">
        <v>137</v>
      </c>
      <c r="B96" s="420" t="s">
        <v>138</v>
      </c>
      <c r="C96" s="421"/>
      <c r="D96" s="422"/>
      <c r="E96" s="152">
        <v>1420</v>
      </c>
      <c r="F96" s="31">
        <f>7100+E96</f>
        <v>8520</v>
      </c>
      <c r="G96" s="45">
        <v>975</v>
      </c>
      <c r="H96" s="74"/>
      <c r="I96" s="74"/>
      <c r="J96" s="74"/>
      <c r="K96" s="94">
        <f t="shared" si="9"/>
        <v>975</v>
      </c>
      <c r="L96" s="33">
        <f>7250+K96</f>
        <v>8225</v>
      </c>
      <c r="M96" s="34">
        <f t="shared" si="8"/>
        <v>445</v>
      </c>
      <c r="N96" s="35">
        <f t="shared" si="8"/>
        <v>295</v>
      </c>
      <c r="O96" s="64">
        <v>0</v>
      </c>
      <c r="P96" s="65">
        <v>0</v>
      </c>
      <c r="Q96" s="1"/>
      <c r="R96" s="1"/>
    </row>
    <row r="97" spans="1:18" ht="23.25" customHeight="1" thickBot="1">
      <c r="A97" s="60" t="s">
        <v>139</v>
      </c>
      <c r="B97" s="420" t="s">
        <v>140</v>
      </c>
      <c r="C97" s="421"/>
      <c r="D97" s="422"/>
      <c r="E97" s="152">
        <v>4500</v>
      </c>
      <c r="F97" s="31">
        <f>37500+E97</f>
        <v>42000</v>
      </c>
      <c r="G97" s="45">
        <v>4675.67</v>
      </c>
      <c r="H97" s="74"/>
      <c r="I97" s="74"/>
      <c r="J97" s="74"/>
      <c r="K97" s="94">
        <f>G97+I97</f>
        <v>4675.67</v>
      </c>
      <c r="L97" s="33">
        <f>39012.54+K97</f>
        <v>43688.21</v>
      </c>
      <c r="M97" s="34">
        <f t="shared" si="8"/>
        <v>-175.67000000000007</v>
      </c>
      <c r="N97" s="35">
        <f t="shared" si="8"/>
        <v>-1688.2099999999991</v>
      </c>
      <c r="O97" s="64">
        <v>0</v>
      </c>
      <c r="P97" s="65">
        <v>0</v>
      </c>
      <c r="Q97" s="1"/>
      <c r="R97" s="71">
        <f>F93+F94+F95+F96+F97+F98+F99+F100</f>
        <v>179480</v>
      </c>
    </row>
    <row r="98" spans="1:16" ht="36" customHeight="1" thickBot="1">
      <c r="A98" s="60" t="s">
        <v>141</v>
      </c>
      <c r="B98" s="491" t="s">
        <v>142</v>
      </c>
      <c r="C98" s="492"/>
      <c r="D98" s="493"/>
      <c r="E98" s="152">
        <v>2910</v>
      </c>
      <c r="F98" s="31">
        <f>14550+E98</f>
        <v>17460</v>
      </c>
      <c r="G98" s="45">
        <v>1500</v>
      </c>
      <c r="H98" s="74"/>
      <c r="I98" s="74"/>
      <c r="J98" s="74"/>
      <c r="K98" s="94">
        <f t="shared" si="9"/>
        <v>1500</v>
      </c>
      <c r="L98" s="33">
        <f>14744+K98</f>
        <v>16244</v>
      </c>
      <c r="M98" s="34">
        <f t="shared" si="8"/>
        <v>1410</v>
      </c>
      <c r="N98" s="35">
        <f t="shared" si="8"/>
        <v>1216</v>
      </c>
      <c r="O98" s="64">
        <v>0</v>
      </c>
      <c r="P98" s="65">
        <v>0</v>
      </c>
    </row>
    <row r="99" spans="1:16" ht="35.25" customHeight="1" thickBot="1">
      <c r="A99" s="60" t="s">
        <v>143</v>
      </c>
      <c r="B99" s="420" t="s">
        <v>144</v>
      </c>
      <c r="C99" s="421"/>
      <c r="D99" s="422"/>
      <c r="E99" s="152"/>
      <c r="F99" s="31">
        <f>16000+E99</f>
        <v>16000</v>
      </c>
      <c r="G99" s="45"/>
      <c r="H99" s="74"/>
      <c r="I99" s="74"/>
      <c r="J99" s="74"/>
      <c r="K99" s="94">
        <f t="shared" si="9"/>
        <v>0</v>
      </c>
      <c r="L99" s="33">
        <f>5000+K99</f>
        <v>5000</v>
      </c>
      <c r="M99" s="34">
        <f t="shared" si="8"/>
        <v>0</v>
      </c>
      <c r="N99" s="35">
        <f t="shared" si="8"/>
        <v>11000</v>
      </c>
      <c r="O99" s="64">
        <v>0</v>
      </c>
      <c r="P99" s="65">
        <v>0</v>
      </c>
    </row>
    <row r="100" spans="1:16" ht="25.5" customHeight="1" thickBot="1">
      <c r="A100" s="60" t="s">
        <v>145</v>
      </c>
      <c r="B100" s="420" t="s">
        <v>146</v>
      </c>
      <c r="C100" s="421"/>
      <c r="D100" s="422"/>
      <c r="E100" s="152">
        <v>9800</v>
      </c>
      <c r="F100" s="31">
        <f>39200+E100</f>
        <v>49000</v>
      </c>
      <c r="G100" s="45">
        <v>9370.72</v>
      </c>
      <c r="H100" s="74"/>
      <c r="I100" s="74"/>
      <c r="J100" s="74"/>
      <c r="K100" s="94">
        <f>G100</f>
        <v>9370.72</v>
      </c>
      <c r="L100" s="33">
        <f>63386.66+K100</f>
        <v>72757.38</v>
      </c>
      <c r="M100" s="34">
        <f t="shared" si="8"/>
        <v>429.28000000000065</v>
      </c>
      <c r="N100" s="35">
        <f t="shared" si="8"/>
        <v>-23757.380000000005</v>
      </c>
      <c r="O100" s="64">
        <v>0</v>
      </c>
      <c r="P100" s="65">
        <v>0</v>
      </c>
    </row>
    <row r="101" spans="1:18" ht="41.25" customHeight="1" thickBot="1">
      <c r="A101" s="86" t="s">
        <v>147</v>
      </c>
      <c r="B101" s="423" t="s">
        <v>148</v>
      </c>
      <c r="C101" s="424"/>
      <c r="D101" s="425"/>
      <c r="E101" s="73">
        <f>E102+E103</f>
        <v>80000</v>
      </c>
      <c r="F101" s="73">
        <f>F102+F103+F104+F105</f>
        <v>573900</v>
      </c>
      <c r="G101" s="73">
        <f>G102+G104+G105</f>
        <v>38789.740000000005</v>
      </c>
      <c r="H101" s="75">
        <f>H103</f>
        <v>0</v>
      </c>
      <c r="I101" s="55">
        <f>I104</f>
        <v>0</v>
      </c>
      <c r="J101" s="55"/>
      <c r="K101" s="73">
        <f>G101+H101+I101+J101</f>
        <v>38789.740000000005</v>
      </c>
      <c r="L101" s="55">
        <f>L102+L103+L104+L105</f>
        <v>482581.2</v>
      </c>
      <c r="M101" s="56">
        <f t="shared" si="8"/>
        <v>41210.259999999995</v>
      </c>
      <c r="N101" s="70">
        <f t="shared" si="8"/>
        <v>91318.79999999999</v>
      </c>
      <c r="O101" s="58">
        <v>0</v>
      </c>
      <c r="P101" s="59">
        <v>0</v>
      </c>
      <c r="R101" s="95">
        <f>L102+L104-L101</f>
        <v>0</v>
      </c>
    </row>
    <row r="102" spans="1:18" ht="28.5" customHeight="1" thickBot="1">
      <c r="A102" s="60" t="s">
        <v>149</v>
      </c>
      <c r="B102" s="405" t="s">
        <v>53</v>
      </c>
      <c r="C102" s="406"/>
      <c r="D102" s="407"/>
      <c r="E102" s="61">
        <f>E106+E107+E114+E119+E131+E113+E128+E115+E120</f>
        <v>80000</v>
      </c>
      <c r="F102" s="31">
        <f>493900+E102</f>
        <v>573900</v>
      </c>
      <c r="G102" s="74">
        <f>G113++G107+G114+G118+G120+G128+G119+G106</f>
        <v>38789.740000000005</v>
      </c>
      <c r="H102" s="74"/>
      <c r="I102" s="33"/>
      <c r="J102" s="33"/>
      <c r="K102" s="94">
        <f>G102</f>
        <v>38789.740000000005</v>
      </c>
      <c r="L102" s="33">
        <f>443791.46+K102</f>
        <v>482581.2</v>
      </c>
      <c r="M102" s="34">
        <f t="shared" si="8"/>
        <v>41210.259999999995</v>
      </c>
      <c r="N102" s="35">
        <f t="shared" si="8"/>
        <v>91318.79999999999</v>
      </c>
      <c r="O102" s="64">
        <v>0</v>
      </c>
      <c r="P102" s="65">
        <v>0</v>
      </c>
      <c r="R102" s="95"/>
    </row>
    <row r="103" spans="1:18" ht="19.5" customHeight="1" thickBot="1">
      <c r="A103" s="60" t="s">
        <v>150</v>
      </c>
      <c r="B103" s="457" t="s">
        <v>51</v>
      </c>
      <c r="C103" s="458"/>
      <c r="D103" s="459"/>
      <c r="E103" s="61">
        <f>E129</f>
        <v>0</v>
      </c>
      <c r="F103" s="31">
        <f>0+E103</f>
        <v>0</v>
      </c>
      <c r="G103" s="74"/>
      <c r="H103" s="74">
        <f>H129</f>
        <v>0</v>
      </c>
      <c r="I103" s="33"/>
      <c r="J103" s="33"/>
      <c r="K103" s="94">
        <f>H103</f>
        <v>0</v>
      </c>
      <c r="L103" s="33">
        <f>0+K103</f>
        <v>0</v>
      </c>
      <c r="M103" s="34">
        <f t="shared" si="8"/>
        <v>0</v>
      </c>
      <c r="N103" s="35">
        <f t="shared" si="8"/>
        <v>0</v>
      </c>
      <c r="O103" s="64">
        <v>0</v>
      </c>
      <c r="P103" s="65">
        <v>0</v>
      </c>
      <c r="R103" s="96"/>
    </row>
    <row r="104" spans="1:16" ht="29.25" customHeight="1" thickBot="1">
      <c r="A104" s="60" t="s">
        <v>151</v>
      </c>
      <c r="B104" s="405" t="s">
        <v>104</v>
      </c>
      <c r="C104" s="406"/>
      <c r="D104" s="407"/>
      <c r="E104" s="61"/>
      <c r="F104" s="31"/>
      <c r="G104" s="31"/>
      <c r="H104" s="74"/>
      <c r="I104" s="33">
        <f>I128+I117+I131</f>
        <v>0</v>
      </c>
      <c r="J104" s="33"/>
      <c r="K104" s="94">
        <f>I104</f>
        <v>0</v>
      </c>
      <c r="L104" s="33">
        <f>0+K104</f>
        <v>0</v>
      </c>
      <c r="M104" s="34">
        <f aca="true" t="shared" si="10" ref="M104:N120">E104-K104</f>
        <v>0</v>
      </c>
      <c r="N104" s="35">
        <f t="shared" si="10"/>
        <v>0</v>
      </c>
      <c r="O104" s="64">
        <v>0</v>
      </c>
      <c r="P104" s="65">
        <v>0</v>
      </c>
    </row>
    <row r="105" spans="1:18" ht="18" customHeight="1" thickBot="1">
      <c r="A105" s="60" t="s">
        <v>152</v>
      </c>
      <c r="B105" s="457" t="s">
        <v>55</v>
      </c>
      <c r="C105" s="458"/>
      <c r="D105" s="459"/>
      <c r="E105" s="61"/>
      <c r="F105" s="31"/>
      <c r="G105" s="74"/>
      <c r="H105" s="74"/>
      <c r="I105" s="33"/>
      <c r="J105" s="33"/>
      <c r="K105" s="94">
        <f>G105</f>
        <v>0</v>
      </c>
      <c r="L105" s="33">
        <f>0+K105</f>
        <v>0</v>
      </c>
      <c r="M105" s="34">
        <f t="shared" si="10"/>
        <v>0</v>
      </c>
      <c r="N105" s="35">
        <f t="shared" si="10"/>
        <v>0</v>
      </c>
      <c r="O105" s="64">
        <v>0</v>
      </c>
      <c r="P105" s="65">
        <v>0</v>
      </c>
      <c r="R105" s="95">
        <f>L106+L113+L114+L118+L119+L131</f>
        <v>63196.14</v>
      </c>
    </row>
    <row r="106" spans="1:16" ht="33" customHeight="1" thickBot="1">
      <c r="A106" s="60" t="s">
        <v>153</v>
      </c>
      <c r="B106" s="460" t="s">
        <v>154</v>
      </c>
      <c r="C106" s="461"/>
      <c r="D106" s="462"/>
      <c r="E106" s="31"/>
      <c r="F106" s="31">
        <f>40000+E106</f>
        <v>40000</v>
      </c>
      <c r="G106" s="74">
        <v>7600</v>
      </c>
      <c r="H106" s="74"/>
      <c r="I106" s="74"/>
      <c r="J106" s="74"/>
      <c r="K106" s="94">
        <f aca="true" t="shared" si="11" ref="K106:K120">G106</f>
        <v>7600</v>
      </c>
      <c r="L106" s="33">
        <f>0+K106</f>
        <v>7600</v>
      </c>
      <c r="M106" s="34">
        <f t="shared" si="10"/>
        <v>-7600</v>
      </c>
      <c r="N106" s="35">
        <f t="shared" si="10"/>
        <v>32400</v>
      </c>
      <c r="O106" s="64">
        <v>0</v>
      </c>
      <c r="P106" s="65">
        <v>0</v>
      </c>
    </row>
    <row r="107" spans="1:16" ht="30.75" customHeight="1" thickBot="1">
      <c r="A107" s="60" t="s">
        <v>155</v>
      </c>
      <c r="B107" s="420" t="s">
        <v>156</v>
      </c>
      <c r="C107" s="421"/>
      <c r="D107" s="422"/>
      <c r="E107" s="31"/>
      <c r="F107" s="31">
        <f>11200+E107</f>
        <v>11200</v>
      </c>
      <c r="G107" s="74"/>
      <c r="H107" s="74"/>
      <c r="I107" s="74"/>
      <c r="J107" s="74"/>
      <c r="K107" s="94">
        <f t="shared" si="11"/>
        <v>0</v>
      </c>
      <c r="L107" s="33">
        <f>2800+K107</f>
        <v>2800</v>
      </c>
      <c r="M107" s="34">
        <f t="shared" si="10"/>
        <v>0</v>
      </c>
      <c r="N107" s="35">
        <f t="shared" si="10"/>
        <v>8400</v>
      </c>
      <c r="O107" s="64">
        <v>0</v>
      </c>
      <c r="P107" s="65">
        <v>0</v>
      </c>
    </row>
    <row r="108" spans="1:16" ht="28.5" customHeight="1" thickBot="1">
      <c r="A108" s="60" t="s">
        <v>157</v>
      </c>
      <c r="B108" s="466" t="s">
        <v>158</v>
      </c>
      <c r="C108" s="467"/>
      <c r="D108" s="468"/>
      <c r="E108" s="31"/>
      <c r="F108" s="31"/>
      <c r="G108" s="74"/>
      <c r="H108" s="74"/>
      <c r="I108" s="74"/>
      <c r="J108" s="74"/>
      <c r="K108" s="94">
        <f t="shared" si="11"/>
        <v>0</v>
      </c>
      <c r="L108" s="33">
        <f>0+K108</f>
        <v>0</v>
      </c>
      <c r="M108" s="34">
        <f t="shared" si="10"/>
        <v>0</v>
      </c>
      <c r="N108" s="35">
        <f t="shared" si="10"/>
        <v>0</v>
      </c>
      <c r="O108" s="64">
        <v>0</v>
      </c>
      <c r="P108" s="65">
        <v>0</v>
      </c>
    </row>
    <row r="109" spans="1:16" ht="19.5" customHeight="1" thickBot="1">
      <c r="A109" s="60" t="s">
        <v>159</v>
      </c>
      <c r="B109" s="420" t="s">
        <v>160</v>
      </c>
      <c r="C109" s="421"/>
      <c r="D109" s="422"/>
      <c r="E109" s="31"/>
      <c r="F109" s="31"/>
      <c r="G109" s="74"/>
      <c r="H109" s="74"/>
      <c r="I109" s="74"/>
      <c r="J109" s="74"/>
      <c r="K109" s="94">
        <f t="shared" si="11"/>
        <v>0</v>
      </c>
      <c r="L109" s="33">
        <f>0+K109</f>
        <v>0</v>
      </c>
      <c r="M109" s="34">
        <f t="shared" si="10"/>
        <v>0</v>
      </c>
      <c r="N109" s="35">
        <f t="shared" si="10"/>
        <v>0</v>
      </c>
      <c r="O109" s="64">
        <v>0</v>
      </c>
      <c r="P109" s="65">
        <v>0</v>
      </c>
    </row>
    <row r="110" spans="1:18" ht="34.5" customHeight="1" thickBot="1">
      <c r="A110" s="60" t="s">
        <v>161</v>
      </c>
      <c r="B110" s="420" t="s">
        <v>162</v>
      </c>
      <c r="C110" s="421"/>
      <c r="D110" s="422"/>
      <c r="E110" s="31"/>
      <c r="F110" s="31"/>
      <c r="G110" s="74"/>
      <c r="H110" s="74"/>
      <c r="I110" s="74"/>
      <c r="J110" s="74"/>
      <c r="K110" s="94">
        <f t="shared" si="11"/>
        <v>0</v>
      </c>
      <c r="L110" s="33">
        <f>0+K110</f>
        <v>0</v>
      </c>
      <c r="M110" s="34">
        <f t="shared" si="10"/>
        <v>0</v>
      </c>
      <c r="N110" s="35">
        <f t="shared" si="10"/>
        <v>0</v>
      </c>
      <c r="O110" s="64">
        <v>0</v>
      </c>
      <c r="P110" s="65">
        <v>0</v>
      </c>
      <c r="R110" s="96"/>
    </row>
    <row r="111" spans="1:16" ht="31.5" customHeight="1" thickBot="1">
      <c r="A111" s="60" t="s">
        <v>163</v>
      </c>
      <c r="B111" s="466" t="s">
        <v>164</v>
      </c>
      <c r="C111" s="467"/>
      <c r="D111" s="468"/>
      <c r="E111" s="31"/>
      <c r="F111" s="31"/>
      <c r="G111" s="74"/>
      <c r="H111" s="74"/>
      <c r="I111" s="74"/>
      <c r="J111" s="74"/>
      <c r="K111" s="94">
        <f t="shared" si="11"/>
        <v>0</v>
      </c>
      <c r="L111" s="33">
        <f>0+K111</f>
        <v>0</v>
      </c>
      <c r="M111" s="34">
        <f t="shared" si="10"/>
        <v>0</v>
      </c>
      <c r="N111" s="35">
        <f t="shared" si="10"/>
        <v>0</v>
      </c>
      <c r="O111" s="64">
        <v>0</v>
      </c>
      <c r="P111" s="65">
        <v>0</v>
      </c>
    </row>
    <row r="112" spans="1:16" ht="36" customHeight="1" thickBot="1">
      <c r="A112" s="60" t="s">
        <v>165</v>
      </c>
      <c r="B112" s="420" t="s">
        <v>166</v>
      </c>
      <c r="C112" s="421"/>
      <c r="D112" s="422"/>
      <c r="E112" s="31"/>
      <c r="F112" s="31"/>
      <c r="G112" s="74"/>
      <c r="H112" s="74"/>
      <c r="I112" s="74"/>
      <c r="J112" s="74"/>
      <c r="K112" s="94">
        <f t="shared" si="11"/>
        <v>0</v>
      </c>
      <c r="L112" s="33">
        <f>0+K112</f>
        <v>0</v>
      </c>
      <c r="M112" s="34">
        <f t="shared" si="10"/>
        <v>0</v>
      </c>
      <c r="N112" s="35">
        <f t="shared" si="10"/>
        <v>0</v>
      </c>
      <c r="O112" s="64">
        <v>0</v>
      </c>
      <c r="P112" s="65">
        <v>0</v>
      </c>
    </row>
    <row r="113" spans="1:18" ht="21" customHeight="1" thickBot="1">
      <c r="A113" s="60" t="s">
        <v>167</v>
      </c>
      <c r="B113" s="420" t="s">
        <v>168</v>
      </c>
      <c r="C113" s="421"/>
      <c r="D113" s="422"/>
      <c r="E113" s="31"/>
      <c r="F113" s="31"/>
      <c r="G113" s="74"/>
      <c r="H113" s="74"/>
      <c r="I113" s="74"/>
      <c r="J113" s="74"/>
      <c r="K113" s="94">
        <f t="shared" si="11"/>
        <v>0</v>
      </c>
      <c r="L113" s="33">
        <f>35790+K113</f>
        <v>35790</v>
      </c>
      <c r="M113" s="34">
        <f t="shared" si="10"/>
        <v>0</v>
      </c>
      <c r="N113" s="35">
        <f t="shared" si="10"/>
        <v>-35790</v>
      </c>
      <c r="O113" s="64">
        <v>0</v>
      </c>
      <c r="P113" s="65">
        <v>0</v>
      </c>
      <c r="R113" s="95"/>
    </row>
    <row r="114" spans="1:16" ht="43.5" customHeight="1" thickBot="1">
      <c r="A114" s="60" t="s">
        <v>169</v>
      </c>
      <c r="B114" s="420" t="s">
        <v>170</v>
      </c>
      <c r="C114" s="421"/>
      <c r="D114" s="422"/>
      <c r="E114" s="31"/>
      <c r="F114" s="31">
        <f>5000+E114</f>
        <v>5000</v>
      </c>
      <c r="G114" s="74"/>
      <c r="H114" s="74"/>
      <c r="I114" s="74"/>
      <c r="J114" s="74"/>
      <c r="K114" s="94">
        <f t="shared" si="11"/>
        <v>0</v>
      </c>
      <c r="L114" s="33">
        <f>11903.46+K114</f>
        <v>11903.46</v>
      </c>
      <c r="M114" s="34">
        <f>E114-K114</f>
        <v>0</v>
      </c>
      <c r="N114" s="35">
        <f t="shared" si="10"/>
        <v>-6903.459999999999</v>
      </c>
      <c r="O114" s="64">
        <v>0</v>
      </c>
      <c r="P114" s="65">
        <v>0</v>
      </c>
    </row>
    <row r="115" spans="1:16" ht="37.5" customHeight="1" thickBot="1">
      <c r="A115" s="60" t="s">
        <v>171</v>
      </c>
      <c r="B115" s="420" t="s">
        <v>172</v>
      </c>
      <c r="C115" s="421"/>
      <c r="D115" s="422"/>
      <c r="E115" s="31">
        <v>80000</v>
      </c>
      <c r="F115" s="31">
        <f>84000+E115</f>
        <v>164000</v>
      </c>
      <c r="G115" s="74"/>
      <c r="H115" s="74"/>
      <c r="I115" s="74"/>
      <c r="J115" s="74"/>
      <c r="K115" s="94">
        <f t="shared" si="11"/>
        <v>0</v>
      </c>
      <c r="L115" s="33">
        <f>0+K115</f>
        <v>0</v>
      </c>
      <c r="M115" s="34">
        <f t="shared" si="10"/>
        <v>80000</v>
      </c>
      <c r="N115" s="35">
        <f t="shared" si="10"/>
        <v>164000</v>
      </c>
      <c r="O115" s="64">
        <v>0</v>
      </c>
      <c r="P115" s="65">
        <v>0</v>
      </c>
    </row>
    <row r="116" spans="1:16" ht="36.75" customHeight="1" thickBot="1">
      <c r="A116" s="60" t="s">
        <v>173</v>
      </c>
      <c r="B116" s="420" t="s">
        <v>174</v>
      </c>
      <c r="C116" s="421"/>
      <c r="D116" s="422"/>
      <c r="E116" s="31"/>
      <c r="F116" s="31"/>
      <c r="G116" s="74"/>
      <c r="H116" s="74"/>
      <c r="I116" s="74"/>
      <c r="J116" s="74"/>
      <c r="K116" s="94">
        <f t="shared" si="11"/>
        <v>0</v>
      </c>
      <c r="L116" s="33">
        <f>0+K116</f>
        <v>0</v>
      </c>
      <c r="M116" s="34">
        <f t="shared" si="10"/>
        <v>0</v>
      </c>
      <c r="N116" s="35">
        <f t="shared" si="10"/>
        <v>0</v>
      </c>
      <c r="O116" s="64">
        <v>0</v>
      </c>
      <c r="P116" s="65">
        <v>0</v>
      </c>
    </row>
    <row r="117" spans="1:16" ht="45.75" customHeight="1" thickBot="1">
      <c r="A117" s="60"/>
      <c r="B117" s="420" t="s">
        <v>175</v>
      </c>
      <c r="C117" s="421"/>
      <c r="D117" s="422"/>
      <c r="E117" s="31"/>
      <c r="F117" s="31"/>
      <c r="G117" s="74"/>
      <c r="H117" s="74"/>
      <c r="I117" s="74"/>
      <c r="J117" s="74"/>
      <c r="K117" s="94">
        <f>I117</f>
        <v>0</v>
      </c>
      <c r="L117" s="33">
        <f>0+K117</f>
        <v>0</v>
      </c>
      <c r="M117" s="34">
        <f t="shared" si="10"/>
        <v>0</v>
      </c>
      <c r="N117" s="35">
        <f t="shared" si="10"/>
        <v>0</v>
      </c>
      <c r="O117" s="64">
        <v>0</v>
      </c>
      <c r="P117" s="65">
        <v>0</v>
      </c>
    </row>
    <row r="118" spans="1:16" ht="33" customHeight="1" thickBot="1">
      <c r="A118" s="60" t="s">
        <v>176</v>
      </c>
      <c r="B118" s="420" t="s">
        <v>177</v>
      </c>
      <c r="C118" s="421"/>
      <c r="D118" s="422"/>
      <c r="E118" s="31"/>
      <c r="F118" s="31"/>
      <c r="G118" s="74"/>
      <c r="H118" s="74"/>
      <c r="I118" s="74"/>
      <c r="J118" s="74"/>
      <c r="K118" s="94">
        <f>G118</f>
        <v>0</v>
      </c>
      <c r="L118" s="33">
        <f>1356.68+K118</f>
        <v>1356.68</v>
      </c>
      <c r="M118" s="34">
        <f t="shared" si="10"/>
        <v>0</v>
      </c>
      <c r="N118" s="35">
        <f t="shared" si="10"/>
        <v>-1356.68</v>
      </c>
      <c r="O118" s="64">
        <v>0</v>
      </c>
      <c r="P118" s="65">
        <v>0</v>
      </c>
    </row>
    <row r="119" spans="1:18" ht="48.75" customHeight="1" thickBot="1">
      <c r="A119" s="60" t="s">
        <v>178</v>
      </c>
      <c r="B119" s="463" t="s">
        <v>179</v>
      </c>
      <c r="C119" s="464"/>
      <c r="D119" s="465"/>
      <c r="E119" s="31"/>
      <c r="F119" s="31"/>
      <c r="G119" s="74"/>
      <c r="H119" s="74"/>
      <c r="I119" s="74"/>
      <c r="J119" s="74"/>
      <c r="K119" s="94">
        <f>G119</f>
        <v>0</v>
      </c>
      <c r="L119" s="33">
        <f>6546+K119</f>
        <v>6546</v>
      </c>
      <c r="M119" s="34">
        <f t="shared" si="10"/>
        <v>0</v>
      </c>
      <c r="N119" s="35">
        <f t="shared" si="10"/>
        <v>-6546</v>
      </c>
      <c r="O119" s="64">
        <v>0</v>
      </c>
      <c r="P119" s="65">
        <v>0</v>
      </c>
      <c r="R119" s="96">
        <f>F131+F129+F128+F119+F115+F114+F113+F107+F106</f>
        <v>526200</v>
      </c>
    </row>
    <row r="120" spans="1:16" ht="40.5" customHeight="1" thickBot="1">
      <c r="A120" s="97" t="s">
        <v>180</v>
      </c>
      <c r="B120" s="420" t="s">
        <v>181</v>
      </c>
      <c r="C120" s="421"/>
      <c r="D120" s="422"/>
      <c r="E120" s="31"/>
      <c r="F120" s="31">
        <f>5500+E120</f>
        <v>5500</v>
      </c>
      <c r="G120" s="74"/>
      <c r="H120" s="74"/>
      <c r="I120" s="74"/>
      <c r="J120" s="74"/>
      <c r="K120" s="94">
        <f t="shared" si="11"/>
        <v>0</v>
      </c>
      <c r="L120" s="33">
        <f>10850+K120</f>
        <v>10850</v>
      </c>
      <c r="M120" s="34">
        <f t="shared" si="10"/>
        <v>0</v>
      </c>
      <c r="N120" s="35">
        <f t="shared" si="10"/>
        <v>-5350</v>
      </c>
      <c r="O120" s="64">
        <v>0</v>
      </c>
      <c r="P120" s="65">
        <v>0</v>
      </c>
    </row>
    <row r="121" spans="1:16" ht="15">
      <c r="A121" s="98"/>
      <c r="B121" s="396" t="s">
        <v>43</v>
      </c>
      <c r="C121" s="396"/>
      <c r="D121" s="396"/>
      <c r="E121" s="396"/>
      <c r="F121" s="396"/>
      <c r="G121" s="396"/>
      <c r="H121" s="396"/>
      <c r="I121" s="396"/>
      <c r="J121" s="396"/>
      <c r="K121" s="396"/>
      <c r="L121" s="396"/>
      <c r="M121" s="396"/>
      <c r="N121" s="396"/>
      <c r="O121" s="396"/>
      <c r="P121" s="397"/>
    </row>
    <row r="122" spans="1:16" ht="7.5" customHeight="1" thickBot="1">
      <c r="A122" s="99"/>
      <c r="B122" s="399"/>
      <c r="C122" s="399"/>
      <c r="D122" s="399"/>
      <c r="E122" s="399"/>
      <c r="F122" s="399"/>
      <c r="G122" s="399"/>
      <c r="H122" s="399"/>
      <c r="I122" s="399"/>
      <c r="J122" s="399"/>
      <c r="K122" s="399"/>
      <c r="L122" s="399"/>
      <c r="M122" s="399"/>
      <c r="N122" s="399"/>
      <c r="O122" s="399"/>
      <c r="P122" s="400"/>
    </row>
    <row r="123" spans="1:16" ht="15.75" thickBot="1">
      <c r="A123" s="100"/>
      <c r="B123" s="471" t="s">
        <v>14</v>
      </c>
      <c r="C123" s="472"/>
      <c r="D123" s="473"/>
      <c r="E123" s="477" t="s">
        <v>24</v>
      </c>
      <c r="F123" s="479" t="s">
        <v>25</v>
      </c>
      <c r="G123" s="481" t="s">
        <v>44</v>
      </c>
      <c r="H123" s="482"/>
      <c r="I123" s="482"/>
      <c r="J123" s="482"/>
      <c r="K123" s="483"/>
      <c r="L123" s="469" t="s">
        <v>16</v>
      </c>
      <c r="M123" s="469" t="s">
        <v>17</v>
      </c>
      <c r="N123" s="469" t="s">
        <v>18</v>
      </c>
      <c r="O123" s="469" t="s">
        <v>19</v>
      </c>
      <c r="P123" s="469" t="s">
        <v>20</v>
      </c>
    </row>
    <row r="124" spans="1:16" ht="77.25" customHeight="1" thickBot="1">
      <c r="A124" s="229"/>
      <c r="B124" s="474"/>
      <c r="C124" s="475"/>
      <c r="D124" s="476"/>
      <c r="E124" s="478"/>
      <c r="F124" s="480"/>
      <c r="G124" s="102" t="s">
        <v>45</v>
      </c>
      <c r="H124" s="102" t="s">
        <v>46</v>
      </c>
      <c r="I124" s="102" t="s">
        <v>47</v>
      </c>
      <c r="J124" s="103" t="s">
        <v>48</v>
      </c>
      <c r="K124" s="104" t="s">
        <v>27</v>
      </c>
      <c r="L124" s="470"/>
      <c r="M124" s="470"/>
      <c r="N124" s="470"/>
      <c r="O124" s="470"/>
      <c r="P124" s="470"/>
    </row>
    <row r="125" spans="1:16" ht="15.75" thickBot="1">
      <c r="A125" s="105"/>
      <c r="B125" s="342">
        <v>1</v>
      </c>
      <c r="C125" s="343"/>
      <c r="D125" s="344"/>
      <c r="E125" s="17" t="s">
        <v>22</v>
      </c>
      <c r="F125" s="226">
        <v>3</v>
      </c>
      <c r="G125" s="226">
        <v>4</v>
      </c>
      <c r="H125" s="226">
        <v>5</v>
      </c>
      <c r="I125" s="7">
        <v>6</v>
      </c>
      <c r="J125" s="7">
        <v>7</v>
      </c>
      <c r="K125" s="48">
        <v>8</v>
      </c>
      <c r="L125" s="223">
        <v>9</v>
      </c>
      <c r="M125" s="7">
        <v>10</v>
      </c>
      <c r="N125" s="223">
        <v>11</v>
      </c>
      <c r="O125" s="7">
        <v>12</v>
      </c>
      <c r="P125" s="223">
        <v>13</v>
      </c>
    </row>
    <row r="126" spans="1:16" ht="45" customHeight="1" thickBot="1">
      <c r="A126" s="106" t="s">
        <v>182</v>
      </c>
      <c r="B126" s="411" t="s">
        <v>183</v>
      </c>
      <c r="C126" s="412"/>
      <c r="D126" s="413"/>
      <c r="E126" s="31"/>
      <c r="F126" s="31"/>
      <c r="G126" s="74"/>
      <c r="H126" s="74"/>
      <c r="I126" s="74"/>
      <c r="J126" s="74"/>
      <c r="K126" s="94">
        <f aca="true" t="shared" si="12" ref="K126:K140">G126</f>
        <v>0</v>
      </c>
      <c r="L126" s="33">
        <f>0+K126</f>
        <v>0</v>
      </c>
      <c r="M126" s="34">
        <f aca="true" t="shared" si="13" ref="M126:N141">E126-K126</f>
        <v>0</v>
      </c>
      <c r="N126" s="35">
        <f t="shared" si="13"/>
        <v>0</v>
      </c>
      <c r="O126" s="64">
        <v>0</v>
      </c>
      <c r="P126" s="65">
        <v>0</v>
      </c>
    </row>
    <row r="127" spans="1:16" ht="47.25" customHeight="1" thickBot="1">
      <c r="A127" s="107" t="s">
        <v>184</v>
      </c>
      <c r="B127" s="426" t="s">
        <v>185</v>
      </c>
      <c r="C127" s="427"/>
      <c r="D127" s="428"/>
      <c r="E127" s="31"/>
      <c r="F127" s="31"/>
      <c r="G127" s="74"/>
      <c r="H127" s="74"/>
      <c r="I127" s="74"/>
      <c r="J127" s="74"/>
      <c r="K127" s="94">
        <f t="shared" si="12"/>
        <v>0</v>
      </c>
      <c r="L127" s="33">
        <f>0+K127</f>
        <v>0</v>
      </c>
      <c r="M127" s="34">
        <f t="shared" si="13"/>
        <v>0</v>
      </c>
      <c r="N127" s="35">
        <f t="shared" si="13"/>
        <v>0</v>
      </c>
      <c r="O127" s="64">
        <v>0</v>
      </c>
      <c r="P127" s="65">
        <v>0</v>
      </c>
    </row>
    <row r="128" spans="1:16" ht="49.5" customHeight="1" thickBot="1">
      <c r="A128" s="108" t="s">
        <v>186</v>
      </c>
      <c r="B128" s="426" t="s">
        <v>187</v>
      </c>
      <c r="C128" s="427"/>
      <c r="D128" s="428"/>
      <c r="E128" s="31"/>
      <c r="F128" s="31">
        <f>300000+E128</f>
        <v>300000</v>
      </c>
      <c r="G128" s="74">
        <v>31189.74</v>
      </c>
      <c r="H128" s="74"/>
      <c r="I128" s="74"/>
      <c r="J128" s="74"/>
      <c r="K128" s="94">
        <f>I128+G128</f>
        <v>31189.74</v>
      </c>
      <c r="L128" s="33">
        <f>371525.32+K128</f>
        <v>402715.06</v>
      </c>
      <c r="M128" s="34">
        <f t="shared" si="13"/>
        <v>-31189.74</v>
      </c>
      <c r="N128" s="35">
        <f t="shared" si="13"/>
        <v>-102715.06</v>
      </c>
      <c r="O128" s="64">
        <v>0</v>
      </c>
      <c r="P128" s="65">
        <v>0</v>
      </c>
    </row>
    <row r="129" spans="1:16" ht="51.75" customHeight="1" thickBot="1">
      <c r="A129" s="108" t="s">
        <v>188</v>
      </c>
      <c r="B129" s="426" t="s">
        <v>189</v>
      </c>
      <c r="C129" s="427"/>
      <c r="D129" s="428"/>
      <c r="E129" s="31"/>
      <c r="F129" s="31">
        <f>0+E129</f>
        <v>0</v>
      </c>
      <c r="G129" s="74"/>
      <c r="H129" s="74"/>
      <c r="I129" s="74"/>
      <c r="J129" s="74"/>
      <c r="K129" s="94">
        <f>H129</f>
        <v>0</v>
      </c>
      <c r="L129" s="33">
        <f>0+K129</f>
        <v>0</v>
      </c>
      <c r="M129" s="34">
        <f t="shared" si="13"/>
        <v>0</v>
      </c>
      <c r="N129" s="35">
        <f t="shared" si="13"/>
        <v>0</v>
      </c>
      <c r="O129" s="64">
        <v>0</v>
      </c>
      <c r="P129" s="65">
        <v>0</v>
      </c>
    </row>
    <row r="130" spans="1:16" ht="49.5" customHeight="1" thickBot="1">
      <c r="A130" s="109" t="s">
        <v>190</v>
      </c>
      <c r="B130" s="426" t="s">
        <v>191</v>
      </c>
      <c r="C130" s="427"/>
      <c r="D130" s="428"/>
      <c r="E130" s="31"/>
      <c r="F130" s="31"/>
      <c r="G130" s="74"/>
      <c r="H130" s="74"/>
      <c r="I130" s="74"/>
      <c r="J130" s="74"/>
      <c r="K130" s="94">
        <f>G130</f>
        <v>0</v>
      </c>
      <c r="L130" s="33">
        <f>3020+K130</f>
        <v>3020</v>
      </c>
      <c r="M130" s="34">
        <f t="shared" si="13"/>
        <v>0</v>
      </c>
      <c r="N130" s="35">
        <f t="shared" si="13"/>
        <v>-3020</v>
      </c>
      <c r="O130" s="64">
        <v>0</v>
      </c>
      <c r="P130" s="65">
        <v>0</v>
      </c>
    </row>
    <row r="131" spans="1:16" ht="48.75" customHeight="1" thickBot="1">
      <c r="A131" s="109" t="s">
        <v>192</v>
      </c>
      <c r="B131" s="494" t="s">
        <v>193</v>
      </c>
      <c r="C131" s="495"/>
      <c r="D131" s="496"/>
      <c r="E131" s="31"/>
      <c r="F131" s="31">
        <f>6000+E131</f>
        <v>6000</v>
      </c>
      <c r="G131" s="74"/>
      <c r="H131" s="74"/>
      <c r="I131" s="74"/>
      <c r="J131" s="74"/>
      <c r="K131" s="94">
        <f>G131+I131</f>
        <v>0</v>
      </c>
      <c r="L131" s="33">
        <f>0+K131</f>
        <v>0</v>
      </c>
      <c r="M131" s="34">
        <f t="shared" si="13"/>
        <v>0</v>
      </c>
      <c r="N131" s="35">
        <f t="shared" si="13"/>
        <v>6000</v>
      </c>
      <c r="O131" s="64">
        <v>0</v>
      </c>
      <c r="P131" s="65">
        <v>0</v>
      </c>
    </row>
    <row r="132" spans="1:19" ht="42.75" customHeight="1" thickBot="1">
      <c r="A132" s="110">
        <v>15</v>
      </c>
      <c r="B132" s="418" t="s">
        <v>194</v>
      </c>
      <c r="C132" s="418"/>
      <c r="D132" s="419"/>
      <c r="E132" s="73">
        <f>E133+E134</f>
        <v>0</v>
      </c>
      <c r="F132" s="73">
        <f>F133</f>
        <v>130000</v>
      </c>
      <c r="G132" s="75">
        <f>G133+G134</f>
        <v>0</v>
      </c>
      <c r="H132" s="74"/>
      <c r="I132" s="74"/>
      <c r="J132" s="74"/>
      <c r="K132" s="93">
        <f t="shared" si="12"/>
        <v>0</v>
      </c>
      <c r="L132" s="55">
        <f>L133+L134</f>
        <v>13440.82</v>
      </c>
      <c r="M132" s="56">
        <f t="shared" si="13"/>
        <v>0</v>
      </c>
      <c r="N132" s="70">
        <f t="shared" si="13"/>
        <v>116559.18</v>
      </c>
      <c r="O132" s="58">
        <v>0</v>
      </c>
      <c r="P132" s="59">
        <v>0</v>
      </c>
      <c r="Q132" s="1"/>
      <c r="R132" s="1"/>
      <c r="S132" s="1"/>
    </row>
    <row r="133" spans="1:19" ht="29.25" customHeight="1" thickBot="1">
      <c r="A133" s="60" t="s">
        <v>195</v>
      </c>
      <c r="B133" s="405" t="s">
        <v>53</v>
      </c>
      <c r="C133" s="406"/>
      <c r="D133" s="407"/>
      <c r="E133" s="155"/>
      <c r="F133" s="31">
        <f>130000+E133</f>
        <v>130000</v>
      </c>
      <c r="G133" s="74"/>
      <c r="H133" s="74"/>
      <c r="I133" s="74"/>
      <c r="J133" s="74"/>
      <c r="K133" s="94">
        <f t="shared" si="12"/>
        <v>0</v>
      </c>
      <c r="L133" s="33">
        <f>13440.82+K133</f>
        <v>13440.82</v>
      </c>
      <c r="M133" s="34">
        <f t="shared" si="13"/>
        <v>0</v>
      </c>
      <c r="N133" s="35">
        <f t="shared" si="13"/>
        <v>116559.18</v>
      </c>
      <c r="O133" s="64">
        <v>0</v>
      </c>
      <c r="P133" s="65">
        <v>0</v>
      </c>
      <c r="Q133" s="1"/>
      <c r="R133" s="1"/>
      <c r="S133" s="1"/>
    </row>
    <row r="134" spans="1:19" ht="32.25" customHeight="1" thickBot="1">
      <c r="A134" s="60" t="s">
        <v>196</v>
      </c>
      <c r="B134" s="405" t="s">
        <v>104</v>
      </c>
      <c r="C134" s="406"/>
      <c r="D134" s="407"/>
      <c r="E134" s="61"/>
      <c r="F134" s="31"/>
      <c r="G134" s="74"/>
      <c r="H134" s="74"/>
      <c r="I134" s="74"/>
      <c r="J134" s="74"/>
      <c r="K134" s="94">
        <f t="shared" si="12"/>
        <v>0</v>
      </c>
      <c r="L134" s="33">
        <f>0+K134</f>
        <v>0</v>
      </c>
      <c r="M134" s="34">
        <f t="shared" si="13"/>
        <v>0</v>
      </c>
      <c r="N134" s="35">
        <f t="shared" si="13"/>
        <v>0</v>
      </c>
      <c r="O134" s="64">
        <v>0</v>
      </c>
      <c r="P134" s="65">
        <v>0</v>
      </c>
      <c r="Q134" s="1"/>
      <c r="R134" s="1"/>
      <c r="S134" s="1"/>
    </row>
    <row r="135" spans="1:19" ht="33" customHeight="1" thickBot="1">
      <c r="A135" s="111">
        <v>16</v>
      </c>
      <c r="B135" s="418" t="s">
        <v>197</v>
      </c>
      <c r="C135" s="418"/>
      <c r="D135" s="419"/>
      <c r="E135" s="31">
        <v>0</v>
      </c>
      <c r="F135" s="73">
        <f>F136</f>
        <v>0</v>
      </c>
      <c r="G135" s="75">
        <f>G136+G137</f>
        <v>0</v>
      </c>
      <c r="H135" s="74"/>
      <c r="I135" s="74"/>
      <c r="J135" s="74"/>
      <c r="K135" s="93">
        <f t="shared" si="12"/>
        <v>0</v>
      </c>
      <c r="L135" s="55">
        <f>0+K135</f>
        <v>0</v>
      </c>
      <c r="M135" s="56">
        <f t="shared" si="13"/>
        <v>0</v>
      </c>
      <c r="N135" s="70">
        <f t="shared" si="13"/>
        <v>0</v>
      </c>
      <c r="O135" s="58">
        <v>0</v>
      </c>
      <c r="P135" s="59">
        <v>0</v>
      </c>
      <c r="Q135" s="1"/>
      <c r="R135" s="1"/>
      <c r="S135" s="1"/>
    </row>
    <row r="136" spans="1:19" ht="34.5" customHeight="1" thickBot="1">
      <c r="A136" s="60" t="s">
        <v>198</v>
      </c>
      <c r="B136" s="405" t="s">
        <v>53</v>
      </c>
      <c r="C136" s="406"/>
      <c r="D136" s="407"/>
      <c r="E136" s="61"/>
      <c r="F136" s="31">
        <v>0</v>
      </c>
      <c r="G136" s="74"/>
      <c r="H136" s="74"/>
      <c r="I136" s="74"/>
      <c r="J136" s="74"/>
      <c r="K136" s="94">
        <f t="shared" si="12"/>
        <v>0</v>
      </c>
      <c r="L136" s="33">
        <f>0+K136</f>
        <v>0</v>
      </c>
      <c r="M136" s="34">
        <f t="shared" si="13"/>
        <v>0</v>
      </c>
      <c r="N136" s="35">
        <f t="shared" si="13"/>
        <v>0</v>
      </c>
      <c r="O136" s="64">
        <v>0</v>
      </c>
      <c r="P136" s="65">
        <v>0</v>
      </c>
      <c r="Q136" s="1"/>
      <c r="R136" s="1"/>
      <c r="S136" s="1"/>
    </row>
    <row r="137" spans="1:19" ht="41.25" customHeight="1" thickBot="1">
      <c r="A137" s="60" t="s">
        <v>199</v>
      </c>
      <c r="B137" s="405" t="s">
        <v>104</v>
      </c>
      <c r="C137" s="406"/>
      <c r="D137" s="407"/>
      <c r="E137" s="61"/>
      <c r="F137" s="31"/>
      <c r="G137" s="74"/>
      <c r="H137" s="74"/>
      <c r="I137" s="74"/>
      <c r="J137" s="74"/>
      <c r="K137" s="94">
        <f t="shared" si="12"/>
        <v>0</v>
      </c>
      <c r="L137" s="33">
        <f>0+K137</f>
        <v>0</v>
      </c>
      <c r="M137" s="34">
        <f t="shared" si="13"/>
        <v>0</v>
      </c>
      <c r="N137" s="35">
        <f t="shared" si="13"/>
        <v>0</v>
      </c>
      <c r="O137" s="64">
        <v>0</v>
      </c>
      <c r="P137" s="65">
        <v>0</v>
      </c>
      <c r="Q137" s="1"/>
      <c r="R137" s="1"/>
      <c r="S137" s="1"/>
    </row>
    <row r="138" spans="1:19" ht="47.25" customHeight="1" thickBot="1">
      <c r="A138" s="110">
        <v>17</v>
      </c>
      <c r="B138" s="418" t="s">
        <v>200</v>
      </c>
      <c r="C138" s="418"/>
      <c r="D138" s="419"/>
      <c r="E138" s="73">
        <v>0</v>
      </c>
      <c r="F138" s="73">
        <f>F139</f>
        <v>5504</v>
      </c>
      <c r="G138" s="75">
        <f>G139+G140</f>
        <v>0</v>
      </c>
      <c r="H138" s="75"/>
      <c r="I138" s="75"/>
      <c r="J138" s="75"/>
      <c r="K138" s="93">
        <f t="shared" si="12"/>
        <v>0</v>
      </c>
      <c r="L138" s="55">
        <f>L139</f>
        <v>23504</v>
      </c>
      <c r="M138" s="56">
        <f t="shared" si="13"/>
        <v>0</v>
      </c>
      <c r="N138" s="70">
        <f t="shared" si="13"/>
        <v>-18000</v>
      </c>
      <c r="O138" s="58">
        <v>0</v>
      </c>
      <c r="P138" s="59">
        <v>0</v>
      </c>
      <c r="Q138" s="1"/>
      <c r="R138" s="1"/>
      <c r="S138" s="1"/>
    </row>
    <row r="139" spans="1:19" ht="27" customHeight="1" thickBot="1">
      <c r="A139" s="60" t="s">
        <v>201</v>
      </c>
      <c r="B139" s="405" t="s">
        <v>53</v>
      </c>
      <c r="C139" s="406"/>
      <c r="D139" s="407"/>
      <c r="E139" s="61"/>
      <c r="F139" s="31">
        <f>5504+E139</f>
        <v>5504</v>
      </c>
      <c r="G139" s="74"/>
      <c r="H139" s="74"/>
      <c r="I139" s="74"/>
      <c r="J139" s="74"/>
      <c r="K139" s="94">
        <f t="shared" si="12"/>
        <v>0</v>
      </c>
      <c r="L139" s="33">
        <f>23504+K139</f>
        <v>23504</v>
      </c>
      <c r="M139" s="34">
        <f t="shared" si="13"/>
        <v>0</v>
      </c>
      <c r="N139" s="35">
        <f t="shared" si="13"/>
        <v>-18000</v>
      </c>
      <c r="O139" s="64">
        <v>0</v>
      </c>
      <c r="P139" s="65">
        <v>0</v>
      </c>
      <c r="Q139" s="1"/>
      <c r="R139" s="1"/>
      <c r="S139" s="1"/>
    </row>
    <row r="140" spans="1:19" ht="29.25" customHeight="1" thickBot="1">
      <c r="A140" s="60" t="s">
        <v>202</v>
      </c>
      <c r="B140" s="405" t="s">
        <v>104</v>
      </c>
      <c r="C140" s="406"/>
      <c r="D140" s="407"/>
      <c r="E140" s="61"/>
      <c r="F140" s="31"/>
      <c r="G140" s="74"/>
      <c r="H140" s="74"/>
      <c r="I140" s="74"/>
      <c r="J140" s="74"/>
      <c r="K140" s="94">
        <f t="shared" si="12"/>
        <v>0</v>
      </c>
      <c r="L140" s="33">
        <f>0+K140</f>
        <v>0</v>
      </c>
      <c r="M140" s="34">
        <f t="shared" si="13"/>
        <v>0</v>
      </c>
      <c r="N140" s="35">
        <f t="shared" si="13"/>
        <v>0</v>
      </c>
      <c r="O140" s="64">
        <v>0</v>
      </c>
      <c r="P140" s="65">
        <v>0</v>
      </c>
      <c r="Q140" s="1"/>
      <c r="R140" s="1"/>
      <c r="S140" s="1"/>
    </row>
    <row r="141" spans="1:19" ht="22.5" customHeight="1" thickBot="1">
      <c r="A141" s="110">
        <v>18</v>
      </c>
      <c r="B141" s="424" t="s">
        <v>42</v>
      </c>
      <c r="C141" s="424"/>
      <c r="D141" s="425"/>
      <c r="E141" s="31">
        <v>0</v>
      </c>
      <c r="F141" s="31"/>
      <c r="G141" s="74"/>
      <c r="H141" s="74"/>
      <c r="I141" s="74"/>
      <c r="J141" s="75">
        <v>122584.45</v>
      </c>
      <c r="K141" s="93">
        <f>J141</f>
        <v>122584.45</v>
      </c>
      <c r="L141" s="55">
        <f>732805.62+K141</f>
        <v>855390.07</v>
      </c>
      <c r="M141" s="56">
        <f>E141-K141</f>
        <v>-122584.45</v>
      </c>
      <c r="N141" s="70">
        <f t="shared" si="13"/>
        <v>-855390.07</v>
      </c>
      <c r="O141" s="58">
        <v>0</v>
      </c>
      <c r="P141" s="59">
        <v>0</v>
      </c>
      <c r="Q141" s="1"/>
      <c r="R141" s="1"/>
      <c r="S141" s="1"/>
    </row>
    <row r="142" spans="1:19" ht="59.25" customHeight="1" thickBot="1">
      <c r="A142" s="112"/>
      <c r="B142" s="488" t="s">
        <v>203</v>
      </c>
      <c r="C142" s="488"/>
      <c r="D142" s="488"/>
      <c r="E142" s="488"/>
      <c r="F142" s="113"/>
      <c r="G142" s="113" t="s">
        <v>4</v>
      </c>
      <c r="H142" s="219" t="s">
        <v>5</v>
      </c>
      <c r="I142" s="338" t="s">
        <v>6</v>
      </c>
      <c r="J142" s="339"/>
      <c r="K142" s="8" t="s">
        <v>11</v>
      </c>
      <c r="L142" s="7" t="s">
        <v>8</v>
      </c>
      <c r="M142" s="7" t="s">
        <v>9</v>
      </c>
      <c r="N142" s="115" t="s">
        <v>10</v>
      </c>
      <c r="O142" s="116"/>
      <c r="P142" s="222"/>
      <c r="Q142" s="1"/>
      <c r="R142" s="1"/>
      <c r="S142" s="1"/>
    </row>
    <row r="143" spans="1:19" ht="23.25" customHeight="1" thickBot="1">
      <c r="A143" s="118"/>
      <c r="B143" s="488" t="s">
        <v>12</v>
      </c>
      <c r="C143" s="488"/>
      <c r="D143" s="488"/>
      <c r="E143" s="489"/>
      <c r="F143" s="119"/>
      <c r="G143" s="119">
        <v>0</v>
      </c>
      <c r="H143" s="4">
        <v>0</v>
      </c>
      <c r="I143" s="330">
        <v>0</v>
      </c>
      <c r="J143" s="331"/>
      <c r="K143" s="120"/>
      <c r="L143" s="4">
        <v>0</v>
      </c>
      <c r="M143" s="220">
        <v>0</v>
      </c>
      <c r="N143" s="220">
        <v>0</v>
      </c>
      <c r="O143" s="4"/>
      <c r="P143" s="4">
        <v>0</v>
      </c>
      <c r="Q143" s="1"/>
      <c r="R143" s="1"/>
      <c r="S143" s="1"/>
    </row>
    <row r="144" spans="1:19" ht="27" customHeight="1" thickBot="1">
      <c r="A144" s="112"/>
      <c r="B144" s="488" t="s">
        <v>13</v>
      </c>
      <c r="C144" s="488"/>
      <c r="D144" s="488"/>
      <c r="E144" s="489"/>
      <c r="F144" s="4"/>
      <c r="G144" s="4">
        <f>F10+G17-G32-G36-G40-G45-G55-G65-G68-G72-G75-G79-G89-G102-G133-G136-G139-G81</f>
        <v>-409934.3100000002</v>
      </c>
      <c r="H144" s="4">
        <f>G18+H10-H29</f>
        <v>424210.6</v>
      </c>
      <c r="I144" s="330">
        <f>I10+G19-I104-I66-I97-I76</f>
        <v>0</v>
      </c>
      <c r="J144" s="331"/>
      <c r="K144" s="120">
        <f>O10+G22-J54</f>
        <v>78333.51000000001</v>
      </c>
      <c r="L144" s="4">
        <f>L10+G23-J141</f>
        <v>32620.470000000016</v>
      </c>
      <c r="M144" s="220">
        <v>0</v>
      </c>
      <c r="N144" s="4">
        <v>0</v>
      </c>
      <c r="O144" s="121"/>
      <c r="P144" s="4">
        <f>SUM(G144:O144)</f>
        <v>125230.26999999983</v>
      </c>
      <c r="Q144" s="1"/>
      <c r="R144" s="80">
        <f>P5+L16-L29</f>
        <v>125230.27000000142</v>
      </c>
      <c r="S144" s="37"/>
    </row>
    <row r="145" spans="1:19" ht="24.75" customHeight="1" thickBot="1">
      <c r="A145" s="122"/>
      <c r="B145" s="323" t="s">
        <v>231</v>
      </c>
      <c r="C145" s="323"/>
      <c r="D145" s="323"/>
      <c r="E145" s="324"/>
      <c r="F145" s="325"/>
      <c r="G145" s="325"/>
      <c r="H145" s="325"/>
      <c r="I145" s="325"/>
      <c r="J145" s="325"/>
      <c r="K145" s="325"/>
      <c r="L145" s="325"/>
      <c r="M145" s="325"/>
      <c r="N145" s="484"/>
      <c r="O145" s="485"/>
      <c r="P145" s="123">
        <f>P144</f>
        <v>125230.26999999983</v>
      </c>
      <c r="Q145" s="1"/>
      <c r="R145" s="37">
        <f>P5+L16-L29</f>
        <v>125230.27000000142</v>
      </c>
      <c r="S145" s="37"/>
    </row>
    <row r="146" spans="1:19" ht="15">
      <c r="A146" s="1"/>
      <c r="B146" s="124"/>
      <c r="C146" s="124"/>
      <c r="D146" s="124"/>
      <c r="E146" s="124"/>
      <c r="F146" s="125"/>
      <c r="G146" s="125"/>
      <c r="H146" s="125"/>
      <c r="I146" s="125"/>
      <c r="J146" s="125"/>
      <c r="K146" s="126"/>
      <c r="L146" s="125"/>
      <c r="M146" s="125"/>
      <c r="N146" s="125"/>
      <c r="O146" s="127"/>
      <c r="P146" s="128"/>
      <c r="Q146" s="1"/>
      <c r="R146" s="37"/>
      <c r="S146" s="1"/>
    </row>
    <row r="147" spans="1:19" ht="15">
      <c r="A147" s="1"/>
      <c r="B147" s="486" t="s">
        <v>204</v>
      </c>
      <c r="C147" s="486"/>
      <c r="D147" s="486"/>
      <c r="E147" s="486"/>
      <c r="F147" s="486"/>
      <c r="G147" s="486"/>
      <c r="H147" s="486"/>
      <c r="I147" s="486"/>
      <c r="J147" s="486"/>
      <c r="K147" s="486"/>
      <c r="L147" s="486"/>
      <c r="M147" s="486"/>
      <c r="N147" s="486"/>
      <c r="O147" s="487" t="s">
        <v>205</v>
      </c>
      <c r="P147" s="487"/>
      <c r="Q147" s="1"/>
      <c r="R147" s="80"/>
      <c r="S147" s="37"/>
    </row>
    <row r="148" spans="1:19" ht="15">
      <c r="A148" s="1"/>
      <c r="B148" s="486" t="s">
        <v>206</v>
      </c>
      <c r="C148" s="486"/>
      <c r="D148" s="486"/>
      <c r="E148" s="486"/>
      <c r="F148" s="486"/>
      <c r="G148" s="486"/>
      <c r="H148" s="486"/>
      <c r="I148" s="486"/>
      <c r="J148" s="486"/>
      <c r="K148" s="486"/>
      <c r="L148" s="486"/>
      <c r="M148" s="486"/>
      <c r="N148" s="486"/>
      <c r="O148" s="486" t="s">
        <v>207</v>
      </c>
      <c r="P148" s="486"/>
      <c r="Q148" s="1"/>
      <c r="R148" s="1"/>
      <c r="S148" s="1"/>
    </row>
    <row r="149" spans="1:19" ht="15">
      <c r="A149" s="1"/>
      <c r="B149" s="217"/>
      <c r="C149" s="217"/>
      <c r="D149" s="217"/>
      <c r="E149" s="217"/>
      <c r="F149" s="217"/>
      <c r="G149" s="217"/>
      <c r="H149" s="217"/>
      <c r="I149" s="217"/>
      <c r="J149" s="130"/>
      <c r="K149" s="131"/>
      <c r="L149" s="130"/>
      <c r="M149" s="217"/>
      <c r="N149" s="217"/>
      <c r="O149" s="217"/>
      <c r="P149" s="130"/>
      <c r="Q149" s="1"/>
      <c r="R149" s="37"/>
      <c r="S149" s="1"/>
    </row>
    <row r="151" spans="1:19" ht="15">
      <c r="A151" s="1"/>
      <c r="B151" s="1"/>
      <c r="C151" s="1"/>
      <c r="D151" s="1"/>
      <c r="E151" s="1"/>
      <c r="F151" s="1"/>
      <c r="G151" s="1"/>
      <c r="H151" s="1"/>
      <c r="I151" s="132"/>
      <c r="J151" s="1"/>
      <c r="K151" s="1"/>
      <c r="L151" s="1"/>
      <c r="M151" s="1"/>
      <c r="N151" s="1"/>
      <c r="O151" s="1"/>
      <c r="P151" s="1"/>
      <c r="Q151" s="1"/>
      <c r="R151" s="37"/>
      <c r="S151" s="1"/>
    </row>
    <row r="152" spans="1:19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37"/>
      <c r="S152" s="1"/>
    </row>
    <row r="153" spans="1:19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7"/>
      <c r="O153" s="1"/>
      <c r="P153" s="1"/>
      <c r="Q153" s="1"/>
      <c r="R153" s="1"/>
      <c r="S153" s="1"/>
    </row>
    <row r="154" spans="12:16" ht="15">
      <c r="L154" s="1"/>
      <c r="M154" s="1"/>
      <c r="N154" s="37"/>
      <c r="O154" s="1"/>
      <c r="P154" s="37"/>
    </row>
    <row r="155" spans="12:16" ht="15">
      <c r="L155" s="1"/>
      <c r="M155" s="1"/>
      <c r="N155" s="133"/>
      <c r="O155" s="1"/>
      <c r="P155" s="37"/>
    </row>
    <row r="156" spans="12:16" ht="15">
      <c r="L156" s="37"/>
      <c r="M156" s="1"/>
      <c r="N156" s="1"/>
      <c r="O156" s="1"/>
      <c r="P156" s="1"/>
    </row>
    <row r="157" spans="12:16" ht="15">
      <c r="L157" s="37"/>
      <c r="M157" s="37"/>
      <c r="N157" s="1"/>
      <c r="O157" s="1"/>
      <c r="P157" s="1"/>
    </row>
  </sheetData>
  <sheetProtection/>
  <mergeCells count="203">
    <mergeCell ref="B145:E145"/>
    <mergeCell ref="F145:O145"/>
    <mergeCell ref="B147:E147"/>
    <mergeCell ref="F147:N147"/>
    <mergeCell ref="O147:P147"/>
    <mergeCell ref="B148:E148"/>
    <mergeCell ref="F148:N148"/>
    <mergeCell ref="O148:P148"/>
    <mergeCell ref="B141:D141"/>
    <mergeCell ref="B142:E142"/>
    <mergeCell ref="I142:J142"/>
    <mergeCell ref="B143:E143"/>
    <mergeCell ref="I143:J143"/>
    <mergeCell ref="B144:E144"/>
    <mergeCell ref="I144:J144"/>
    <mergeCell ref="B135:D135"/>
    <mergeCell ref="B136:D136"/>
    <mergeCell ref="B137:D137"/>
    <mergeCell ref="B138:D138"/>
    <mergeCell ref="B139:D139"/>
    <mergeCell ref="B140:D140"/>
    <mergeCell ref="B129:D129"/>
    <mergeCell ref="B130:D130"/>
    <mergeCell ref="B131:D131"/>
    <mergeCell ref="B132:D132"/>
    <mergeCell ref="B133:D133"/>
    <mergeCell ref="B134:D134"/>
    <mergeCell ref="O123:O124"/>
    <mergeCell ref="P123:P124"/>
    <mergeCell ref="B125:D125"/>
    <mergeCell ref="B126:D126"/>
    <mergeCell ref="B127:D127"/>
    <mergeCell ref="B128:D128"/>
    <mergeCell ref="B119:D119"/>
    <mergeCell ref="B120:D120"/>
    <mergeCell ref="B121:P122"/>
    <mergeCell ref="B123:D124"/>
    <mergeCell ref="E123:E124"/>
    <mergeCell ref="F123:F124"/>
    <mergeCell ref="G123:K123"/>
    <mergeCell ref="L123:L124"/>
    <mergeCell ref="M123:M124"/>
    <mergeCell ref="N123:N124"/>
    <mergeCell ref="B113:D113"/>
    <mergeCell ref="B114:D114"/>
    <mergeCell ref="B115:D115"/>
    <mergeCell ref="B116:D116"/>
    <mergeCell ref="B117:D117"/>
    <mergeCell ref="B118:D118"/>
    <mergeCell ref="B107:D107"/>
    <mergeCell ref="B108:D108"/>
    <mergeCell ref="B109:D109"/>
    <mergeCell ref="B110:D110"/>
    <mergeCell ref="B111:D111"/>
    <mergeCell ref="B112:D112"/>
    <mergeCell ref="B101:D101"/>
    <mergeCell ref="B102:D102"/>
    <mergeCell ref="B103:D103"/>
    <mergeCell ref="B104:D104"/>
    <mergeCell ref="B105:D105"/>
    <mergeCell ref="B106:D106"/>
    <mergeCell ref="B95:D95"/>
    <mergeCell ref="B96:D96"/>
    <mergeCell ref="B97:D97"/>
    <mergeCell ref="B98:D98"/>
    <mergeCell ref="B99:D99"/>
    <mergeCell ref="B100:D100"/>
    <mergeCell ref="B89:D89"/>
    <mergeCell ref="B90:D90"/>
    <mergeCell ref="B91:D91"/>
    <mergeCell ref="B92:D92"/>
    <mergeCell ref="B93:D93"/>
    <mergeCell ref="B94:D94"/>
    <mergeCell ref="M85:M86"/>
    <mergeCell ref="N85:N86"/>
    <mergeCell ref="O85:O86"/>
    <mergeCell ref="P85:P86"/>
    <mergeCell ref="B87:D87"/>
    <mergeCell ref="B88:D88"/>
    <mergeCell ref="A85:A86"/>
    <mergeCell ref="B85:D86"/>
    <mergeCell ref="E85:E86"/>
    <mergeCell ref="F85:F86"/>
    <mergeCell ref="G85:K85"/>
    <mergeCell ref="L85:L86"/>
    <mergeCell ref="B79:D79"/>
    <mergeCell ref="B80:D80"/>
    <mergeCell ref="B81:D81"/>
    <mergeCell ref="B82:D82"/>
    <mergeCell ref="A83:A84"/>
    <mergeCell ref="B83:P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2:D42"/>
    <mergeCell ref="B43:D43"/>
    <mergeCell ref="B44:D44"/>
    <mergeCell ref="B45:D45"/>
    <mergeCell ref="B46:D46"/>
    <mergeCell ref="B48:D48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M26:M27"/>
    <mergeCell ref="N26:N27"/>
    <mergeCell ref="O26:O27"/>
    <mergeCell ref="P26:P27"/>
    <mergeCell ref="B28:D28"/>
    <mergeCell ref="B29:D29"/>
    <mergeCell ref="B23:D23"/>
    <mergeCell ref="G23:J23"/>
    <mergeCell ref="A24:A25"/>
    <mergeCell ref="B24:P25"/>
    <mergeCell ref="A26:A27"/>
    <mergeCell ref="B26:D27"/>
    <mergeCell ref="E26:E27"/>
    <mergeCell ref="F26:F27"/>
    <mergeCell ref="G26:K26"/>
    <mergeCell ref="L26:L27"/>
    <mergeCell ref="B20:D20"/>
    <mergeCell ref="G20:J20"/>
    <mergeCell ref="B21:D21"/>
    <mergeCell ref="G21:J21"/>
    <mergeCell ref="B22:D22"/>
    <mergeCell ref="G22:J22"/>
    <mergeCell ref="B17:D17"/>
    <mergeCell ref="G17:J17"/>
    <mergeCell ref="B18:D18"/>
    <mergeCell ref="G18:J18"/>
    <mergeCell ref="B19:D19"/>
    <mergeCell ref="G19:J19"/>
    <mergeCell ref="P12:P13"/>
    <mergeCell ref="B14:D14"/>
    <mergeCell ref="G14:J14"/>
    <mergeCell ref="A15:A16"/>
    <mergeCell ref="B15:D16"/>
    <mergeCell ref="G15:J15"/>
    <mergeCell ref="G16:J16"/>
    <mergeCell ref="B11:E11"/>
    <mergeCell ref="F11:P11"/>
    <mergeCell ref="A12:A13"/>
    <mergeCell ref="B12:E13"/>
    <mergeCell ref="F12:F13"/>
    <mergeCell ref="G12:K13"/>
    <mergeCell ref="L12:L13"/>
    <mergeCell ref="M12:M13"/>
    <mergeCell ref="N12:N13"/>
    <mergeCell ref="O12:O13"/>
    <mergeCell ref="B10:E10"/>
    <mergeCell ref="F10:G10"/>
    <mergeCell ref="I10:J10"/>
    <mergeCell ref="B6:E6"/>
    <mergeCell ref="F6:O6"/>
    <mergeCell ref="B7:E7"/>
    <mergeCell ref="F7:P7"/>
    <mergeCell ref="B8:E8"/>
    <mergeCell ref="F8:G8"/>
    <mergeCell ref="I8:J8"/>
    <mergeCell ref="B1:P1"/>
    <mergeCell ref="B2:P2"/>
    <mergeCell ref="B3:P3"/>
    <mergeCell ref="B4:P4"/>
    <mergeCell ref="B5:E5"/>
    <mergeCell ref="F5:O5"/>
    <mergeCell ref="B9:E9"/>
    <mergeCell ref="F9:G9"/>
    <mergeCell ref="I9:J9"/>
  </mergeCells>
  <printOptions/>
  <pageMargins left="0" right="0" top="0.15748031496062992" bottom="0.15748031496062992" header="0.1968503937007874" footer="0.11811023622047245"/>
  <pageSetup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55"/>
  <sheetViews>
    <sheetView zoomScalePageLayoutView="0" workbookViewId="0" topLeftCell="A133">
      <selection activeCell="J59" sqref="J59"/>
    </sheetView>
  </sheetViews>
  <sheetFormatPr defaultColWidth="9.140625" defaultRowHeight="15"/>
  <cols>
    <col min="1" max="1" width="3.28125" style="2" customWidth="1"/>
    <col min="2" max="3" width="9.140625" style="2" customWidth="1"/>
    <col min="4" max="4" width="5.140625" style="2" customWidth="1"/>
    <col min="5" max="5" width="11.140625" style="2" customWidth="1"/>
    <col min="6" max="6" width="14.140625" style="2" customWidth="1"/>
    <col min="7" max="7" width="12.7109375" style="2" customWidth="1"/>
    <col min="8" max="8" width="11.00390625" style="2" customWidth="1"/>
    <col min="9" max="9" width="7.00390625" style="2" customWidth="1"/>
    <col min="10" max="10" width="11.140625" style="2" customWidth="1"/>
    <col min="11" max="11" width="12.7109375" style="2" customWidth="1"/>
    <col min="12" max="12" width="13.8515625" style="2" customWidth="1"/>
    <col min="13" max="13" width="13.7109375" style="2" customWidth="1"/>
    <col min="14" max="14" width="13.421875" style="2" customWidth="1"/>
    <col min="15" max="15" width="8.421875" style="2" customWidth="1"/>
    <col min="16" max="16" width="9.28125" style="2" customWidth="1"/>
    <col min="17" max="17" width="9.140625" style="2" customWidth="1"/>
    <col min="18" max="18" width="11.7109375" style="2" customWidth="1"/>
    <col min="19" max="19" width="11.140625" style="2" bestFit="1" customWidth="1"/>
    <col min="20" max="16384" width="9.140625" style="2" customWidth="1"/>
  </cols>
  <sheetData>
    <row r="1" spans="1:16" ht="15">
      <c r="A1" s="1"/>
      <c r="B1" s="318" t="s">
        <v>0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</row>
    <row r="2" spans="1:16" ht="15">
      <c r="A2" s="1"/>
      <c r="B2" s="319" t="s">
        <v>232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</row>
    <row r="3" spans="1:16" ht="15.75" thickBot="1">
      <c r="A3" s="1"/>
      <c r="B3" s="320" t="s">
        <v>1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</row>
    <row r="4" spans="1:16" ht="15.75" thickBot="1">
      <c r="A4" s="1"/>
      <c r="B4" s="321" t="s">
        <v>2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</row>
    <row r="5" spans="1:16" ht="15.75" thickBot="1">
      <c r="A5" s="3"/>
      <c r="B5" s="322" t="s">
        <v>209</v>
      </c>
      <c r="C5" s="323"/>
      <c r="D5" s="323"/>
      <c r="E5" s="324"/>
      <c r="F5" s="325"/>
      <c r="G5" s="325"/>
      <c r="H5" s="325"/>
      <c r="I5" s="325"/>
      <c r="J5" s="325"/>
      <c r="K5" s="325"/>
      <c r="L5" s="325"/>
      <c r="M5" s="325"/>
      <c r="N5" s="325"/>
      <c r="O5" s="326"/>
      <c r="P5" s="4">
        <v>9380.24</v>
      </c>
    </row>
    <row r="6" spans="1:16" ht="21" customHeight="1" thickBot="1">
      <c r="A6" s="3"/>
      <c r="B6" s="322" t="s">
        <v>234</v>
      </c>
      <c r="C6" s="323"/>
      <c r="D6" s="323"/>
      <c r="E6" s="324"/>
      <c r="F6" s="325"/>
      <c r="G6" s="325"/>
      <c r="H6" s="325"/>
      <c r="I6" s="325"/>
      <c r="J6" s="325"/>
      <c r="K6" s="325"/>
      <c r="L6" s="325"/>
      <c r="M6" s="325"/>
      <c r="N6" s="325"/>
      <c r="O6" s="326"/>
      <c r="P6" s="232">
        <f>P10</f>
        <v>125230.26999999997</v>
      </c>
    </row>
    <row r="7" spans="1:16" ht="15.75" thickBot="1">
      <c r="A7" s="3"/>
      <c r="B7" s="332"/>
      <c r="C7" s="333"/>
      <c r="D7" s="333"/>
      <c r="E7" s="334"/>
      <c r="F7" s="335"/>
      <c r="G7" s="335"/>
      <c r="H7" s="335"/>
      <c r="I7" s="335"/>
      <c r="J7" s="335"/>
      <c r="K7" s="335"/>
      <c r="L7" s="335"/>
      <c r="M7" s="335"/>
      <c r="N7" s="336"/>
      <c r="O7" s="336"/>
      <c r="P7" s="337"/>
    </row>
    <row r="8" spans="1:16" ht="75.75" thickBot="1">
      <c r="A8" s="6"/>
      <c r="B8" s="322" t="s">
        <v>3</v>
      </c>
      <c r="C8" s="323"/>
      <c r="D8" s="323"/>
      <c r="E8" s="324"/>
      <c r="F8" s="338" t="s">
        <v>4</v>
      </c>
      <c r="G8" s="339"/>
      <c r="H8" s="7" t="s">
        <v>5</v>
      </c>
      <c r="I8" s="338" t="s">
        <v>6</v>
      </c>
      <c r="J8" s="339"/>
      <c r="K8" s="8" t="s">
        <v>7</v>
      </c>
      <c r="L8" s="7" t="s">
        <v>8</v>
      </c>
      <c r="M8" s="234" t="s">
        <v>9</v>
      </c>
      <c r="N8" s="243" t="s">
        <v>10</v>
      </c>
      <c r="O8" s="11" t="s">
        <v>11</v>
      </c>
      <c r="P8" s="12"/>
    </row>
    <row r="9" spans="1:16" ht="15.75" thickBot="1">
      <c r="A9" s="3"/>
      <c r="B9" s="327" t="s">
        <v>12</v>
      </c>
      <c r="C9" s="328"/>
      <c r="D9" s="328"/>
      <c r="E9" s="329"/>
      <c r="F9" s="330">
        <v>0</v>
      </c>
      <c r="G9" s="331"/>
      <c r="H9" s="4">
        <v>0</v>
      </c>
      <c r="I9" s="330">
        <v>0</v>
      </c>
      <c r="J9" s="331"/>
      <c r="K9" s="13">
        <v>0</v>
      </c>
      <c r="L9" s="4">
        <v>0</v>
      </c>
      <c r="M9" s="231">
        <v>0</v>
      </c>
      <c r="N9" s="4">
        <v>0</v>
      </c>
      <c r="O9" s="15">
        <v>0</v>
      </c>
      <c r="P9" s="232">
        <v>0</v>
      </c>
    </row>
    <row r="10" spans="1:16" ht="22.5" customHeight="1" thickBot="1">
      <c r="A10" s="3"/>
      <c r="B10" s="327" t="s">
        <v>13</v>
      </c>
      <c r="C10" s="328"/>
      <c r="D10" s="328"/>
      <c r="E10" s="329"/>
      <c r="F10" s="330">
        <v>-409934.31</v>
      </c>
      <c r="G10" s="331"/>
      <c r="H10" s="4">
        <v>424210.6</v>
      </c>
      <c r="I10" s="330">
        <v>0</v>
      </c>
      <c r="J10" s="331"/>
      <c r="K10" s="13">
        <v>0</v>
      </c>
      <c r="L10" s="4">
        <v>32620.47</v>
      </c>
      <c r="M10" s="231">
        <v>0</v>
      </c>
      <c r="N10" s="4">
        <v>0</v>
      </c>
      <c r="O10" s="4">
        <v>78333.51</v>
      </c>
      <c r="P10" s="232">
        <f>SUM(F10:O10)</f>
        <v>125230.26999999997</v>
      </c>
    </row>
    <row r="11" spans="1:16" ht="15.75" thickBot="1">
      <c r="A11" s="239"/>
      <c r="B11" s="360"/>
      <c r="C11" s="361"/>
      <c r="D11" s="361"/>
      <c r="E11" s="361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3"/>
    </row>
    <row r="12" spans="1:16" ht="15">
      <c r="A12" s="346"/>
      <c r="B12" s="364" t="s">
        <v>14</v>
      </c>
      <c r="C12" s="365"/>
      <c r="D12" s="365"/>
      <c r="E12" s="366"/>
      <c r="F12" s="340"/>
      <c r="G12" s="370" t="s">
        <v>15</v>
      </c>
      <c r="H12" s="362"/>
      <c r="I12" s="362"/>
      <c r="J12" s="362"/>
      <c r="K12" s="363"/>
      <c r="L12" s="340" t="s">
        <v>16</v>
      </c>
      <c r="M12" s="340" t="s">
        <v>17</v>
      </c>
      <c r="N12" s="340" t="s">
        <v>18</v>
      </c>
      <c r="O12" s="340" t="s">
        <v>19</v>
      </c>
      <c r="P12" s="340" t="s">
        <v>20</v>
      </c>
    </row>
    <row r="13" spans="1:16" ht="33.75" customHeight="1" thickBot="1">
      <c r="A13" s="347"/>
      <c r="B13" s="367"/>
      <c r="C13" s="368"/>
      <c r="D13" s="368"/>
      <c r="E13" s="369"/>
      <c r="F13" s="341"/>
      <c r="G13" s="371"/>
      <c r="H13" s="372"/>
      <c r="I13" s="372"/>
      <c r="J13" s="372"/>
      <c r="K13" s="373"/>
      <c r="L13" s="341"/>
      <c r="M13" s="341"/>
      <c r="N13" s="341"/>
      <c r="O13" s="341"/>
      <c r="P13" s="341"/>
    </row>
    <row r="14" spans="1:16" ht="15.75" thickBot="1">
      <c r="A14" s="3"/>
      <c r="B14" s="342" t="s">
        <v>21</v>
      </c>
      <c r="C14" s="343"/>
      <c r="D14" s="344"/>
      <c r="E14" s="17" t="s">
        <v>22</v>
      </c>
      <c r="F14" s="238">
        <v>3</v>
      </c>
      <c r="G14" s="345">
        <v>4</v>
      </c>
      <c r="H14" s="335"/>
      <c r="I14" s="335"/>
      <c r="J14" s="337"/>
      <c r="K14" s="19">
        <v>5</v>
      </c>
      <c r="L14" s="237">
        <v>6</v>
      </c>
      <c r="M14" s="7">
        <v>7</v>
      </c>
      <c r="N14" s="237">
        <v>8</v>
      </c>
      <c r="O14" s="237">
        <v>9</v>
      </c>
      <c r="P14" s="7">
        <v>10</v>
      </c>
    </row>
    <row r="15" spans="1:16" ht="30" customHeight="1" thickBot="1">
      <c r="A15" s="346"/>
      <c r="B15" s="348" t="s">
        <v>23</v>
      </c>
      <c r="C15" s="349"/>
      <c r="D15" s="350"/>
      <c r="E15" s="21" t="s">
        <v>24</v>
      </c>
      <c r="F15" s="21" t="s">
        <v>25</v>
      </c>
      <c r="G15" s="354" t="s">
        <v>26</v>
      </c>
      <c r="H15" s="355"/>
      <c r="I15" s="355"/>
      <c r="J15" s="356"/>
      <c r="K15" s="22" t="s">
        <v>27</v>
      </c>
      <c r="L15" s="23" t="s">
        <v>26</v>
      </c>
      <c r="M15" s="24" t="s">
        <v>28</v>
      </c>
      <c r="N15" s="24" t="s">
        <v>26</v>
      </c>
      <c r="O15" s="24" t="s">
        <v>26</v>
      </c>
      <c r="P15" s="25" t="s">
        <v>26</v>
      </c>
    </row>
    <row r="16" spans="1:16" ht="27" customHeight="1" thickBot="1">
      <c r="A16" s="347"/>
      <c r="B16" s="351"/>
      <c r="C16" s="352"/>
      <c r="D16" s="353"/>
      <c r="E16" s="26">
        <f>SUM(E17:E23)</f>
        <v>599920</v>
      </c>
      <c r="F16" s="27">
        <f>SUM(F17:F23)</f>
        <v>12510621</v>
      </c>
      <c r="G16" s="357">
        <f>G17+G18+G19+G20+G21+G22+G23</f>
        <v>446161.6</v>
      </c>
      <c r="H16" s="358"/>
      <c r="I16" s="358"/>
      <c r="J16" s="359"/>
      <c r="K16" s="241">
        <f>SUM(K17:K23)</f>
        <v>446161.6</v>
      </c>
      <c r="L16" s="241">
        <f>SUM(L17:L23)</f>
        <v>12074363.170000002</v>
      </c>
      <c r="M16" s="241">
        <f>SUM(M17:M23)</f>
        <v>153758.40000000002</v>
      </c>
      <c r="N16" s="241">
        <f>SUM(N17:N23)</f>
        <v>436257.8299999996</v>
      </c>
      <c r="O16" s="29">
        <v>0</v>
      </c>
      <c r="P16" s="29">
        <v>0</v>
      </c>
    </row>
    <row r="17" spans="1:18" ht="51.75" customHeight="1" thickBot="1">
      <c r="A17" s="30" t="s">
        <v>29</v>
      </c>
      <c r="B17" s="383" t="s">
        <v>30</v>
      </c>
      <c r="C17" s="384"/>
      <c r="D17" s="385"/>
      <c r="E17" s="154">
        <v>355520</v>
      </c>
      <c r="F17" s="31">
        <f>8442787+E17</f>
        <v>8798307</v>
      </c>
      <c r="G17" s="377">
        <v>243050.61</v>
      </c>
      <c r="H17" s="378"/>
      <c r="I17" s="378"/>
      <c r="J17" s="379"/>
      <c r="K17" s="242">
        <f>G17</f>
        <v>243050.61</v>
      </c>
      <c r="L17" s="33">
        <f>7295352.2+K17</f>
        <v>7538402.8100000005</v>
      </c>
      <c r="M17" s="34">
        <f>E17-K17</f>
        <v>112469.39000000001</v>
      </c>
      <c r="N17" s="35">
        <f>F17-L17</f>
        <v>1259904.1899999995</v>
      </c>
      <c r="O17" s="36">
        <v>0</v>
      </c>
      <c r="P17" s="36">
        <v>0</v>
      </c>
      <c r="Q17" s="1"/>
      <c r="R17" s="37">
        <v>365352.1499999948</v>
      </c>
    </row>
    <row r="18" spans="1:18" ht="47.25" customHeight="1" thickBot="1">
      <c r="A18" s="38" t="s">
        <v>31</v>
      </c>
      <c r="B18" s="386" t="s">
        <v>32</v>
      </c>
      <c r="C18" s="387"/>
      <c r="D18" s="388"/>
      <c r="E18" s="148">
        <v>240400</v>
      </c>
      <c r="F18" s="31">
        <f>3415714+E18</f>
        <v>3656114</v>
      </c>
      <c r="G18" s="377">
        <v>197460</v>
      </c>
      <c r="H18" s="378"/>
      <c r="I18" s="378"/>
      <c r="J18" s="379"/>
      <c r="K18" s="242">
        <f>G18</f>
        <v>197460</v>
      </c>
      <c r="L18" s="33">
        <f>3584421.4+K18</f>
        <v>3781881.4</v>
      </c>
      <c r="M18" s="34">
        <f>E18-K18</f>
        <v>42940</v>
      </c>
      <c r="N18" s="35">
        <f>F18-L18</f>
        <v>-125767.3999999999</v>
      </c>
      <c r="O18" s="36">
        <v>0</v>
      </c>
      <c r="P18" s="36">
        <v>0</v>
      </c>
      <c r="Q18" s="1"/>
      <c r="R18" s="1"/>
    </row>
    <row r="19" spans="1:18" ht="39.75" customHeight="1" thickBot="1">
      <c r="A19" s="38" t="s">
        <v>33</v>
      </c>
      <c r="B19" s="389" t="s">
        <v>34</v>
      </c>
      <c r="C19" s="390"/>
      <c r="D19" s="391"/>
      <c r="E19" s="39"/>
      <c r="F19" s="31">
        <f>0+E19</f>
        <v>0</v>
      </c>
      <c r="G19" s="377"/>
      <c r="H19" s="378"/>
      <c r="I19" s="378"/>
      <c r="J19" s="379"/>
      <c r="K19" s="242">
        <f>G19</f>
        <v>0</v>
      </c>
      <c r="L19" s="33">
        <f>0+K19</f>
        <v>0</v>
      </c>
      <c r="M19" s="34">
        <f aca="true" t="shared" si="0" ref="M19:N23">E19-K19</f>
        <v>0</v>
      </c>
      <c r="N19" s="35">
        <f t="shared" si="0"/>
        <v>0</v>
      </c>
      <c r="O19" s="36">
        <v>0</v>
      </c>
      <c r="P19" s="40">
        <v>0</v>
      </c>
      <c r="Q19" s="1"/>
      <c r="R19" s="1"/>
    </row>
    <row r="20" spans="1:18" ht="54" customHeight="1" thickBot="1">
      <c r="A20" s="41" t="s">
        <v>35</v>
      </c>
      <c r="B20" s="374" t="s">
        <v>36</v>
      </c>
      <c r="C20" s="375"/>
      <c r="D20" s="376"/>
      <c r="E20" s="42"/>
      <c r="F20" s="31">
        <f>0+E20</f>
        <v>0</v>
      </c>
      <c r="G20" s="377"/>
      <c r="H20" s="378"/>
      <c r="I20" s="378"/>
      <c r="J20" s="379"/>
      <c r="K20" s="242">
        <f>G20</f>
        <v>0</v>
      </c>
      <c r="L20" s="33">
        <f>0+K20</f>
        <v>0</v>
      </c>
      <c r="M20" s="34">
        <f t="shared" si="0"/>
        <v>0</v>
      </c>
      <c r="N20" s="35">
        <f t="shared" si="0"/>
        <v>0</v>
      </c>
      <c r="O20" s="36">
        <v>0</v>
      </c>
      <c r="P20" s="36">
        <v>0</v>
      </c>
      <c r="Q20" s="37"/>
      <c r="R20" s="37"/>
    </row>
    <row r="21" spans="1:18" ht="33" customHeight="1" thickBot="1">
      <c r="A21" s="43" t="s">
        <v>37</v>
      </c>
      <c r="B21" s="380" t="s">
        <v>38</v>
      </c>
      <c r="C21" s="381"/>
      <c r="D21" s="382"/>
      <c r="E21" s="44"/>
      <c r="F21" s="31">
        <f>0+E21</f>
        <v>0</v>
      </c>
      <c r="G21" s="377"/>
      <c r="H21" s="378"/>
      <c r="I21" s="378"/>
      <c r="J21" s="379"/>
      <c r="K21" s="242">
        <f>G21</f>
        <v>0</v>
      </c>
      <c r="L21" s="33">
        <f>0+K21</f>
        <v>0</v>
      </c>
      <c r="M21" s="34">
        <f t="shared" si="0"/>
        <v>0</v>
      </c>
      <c r="N21" s="35">
        <f t="shared" si="0"/>
        <v>0</v>
      </c>
      <c r="O21" s="36">
        <v>0</v>
      </c>
      <c r="P21" s="36">
        <v>0</v>
      </c>
      <c r="Q21" s="37"/>
      <c r="R21" s="1"/>
    </row>
    <row r="22" spans="1:18" ht="38.25" customHeight="1" thickBot="1">
      <c r="A22" s="43" t="s">
        <v>39</v>
      </c>
      <c r="B22" s="383" t="s">
        <v>40</v>
      </c>
      <c r="C22" s="384"/>
      <c r="D22" s="385"/>
      <c r="E22" s="149">
        <v>4000</v>
      </c>
      <c r="F22" s="31">
        <f>52200+E22</f>
        <v>56200</v>
      </c>
      <c r="G22" s="377">
        <v>5650.99</v>
      </c>
      <c r="H22" s="378"/>
      <c r="I22" s="378"/>
      <c r="J22" s="379"/>
      <c r="K22" s="242">
        <f>G22</f>
        <v>5650.99</v>
      </c>
      <c r="L22" s="33">
        <f>69656.43+K22</f>
        <v>75307.42</v>
      </c>
      <c r="M22" s="34">
        <f>E22-K22</f>
        <v>-1650.9899999999998</v>
      </c>
      <c r="N22" s="35">
        <f t="shared" si="0"/>
        <v>-19107.42</v>
      </c>
      <c r="O22" s="36">
        <v>0</v>
      </c>
      <c r="P22" s="36">
        <v>0</v>
      </c>
      <c r="Q22" s="1"/>
      <c r="R22" s="1"/>
    </row>
    <row r="23" spans="1:18" ht="36.75" customHeight="1" thickBot="1">
      <c r="A23" s="43" t="s">
        <v>41</v>
      </c>
      <c r="B23" s="392" t="s">
        <v>42</v>
      </c>
      <c r="C23" s="393"/>
      <c r="D23" s="394"/>
      <c r="E23" s="46"/>
      <c r="F23" s="31"/>
      <c r="G23" s="377"/>
      <c r="H23" s="378"/>
      <c r="I23" s="378"/>
      <c r="J23" s="379"/>
      <c r="K23" s="242">
        <f>G23</f>
        <v>0</v>
      </c>
      <c r="L23" s="33">
        <f>678771.54+K23</f>
        <v>678771.54</v>
      </c>
      <c r="M23" s="34">
        <f t="shared" si="0"/>
        <v>0</v>
      </c>
      <c r="N23" s="35">
        <f t="shared" si="0"/>
        <v>-678771.54</v>
      </c>
      <c r="O23" s="36">
        <v>0</v>
      </c>
      <c r="P23" s="36">
        <v>0</v>
      </c>
      <c r="Q23" s="1"/>
      <c r="R23" s="1"/>
    </row>
    <row r="24" spans="1:18" ht="15">
      <c r="A24" s="346"/>
      <c r="B24" s="395" t="s">
        <v>43</v>
      </c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7"/>
      <c r="Q24" s="1"/>
      <c r="R24" s="1"/>
    </row>
    <row r="25" spans="1:18" ht="3" customHeight="1" thickBot="1">
      <c r="A25" s="347"/>
      <c r="B25" s="398"/>
      <c r="C25" s="399"/>
      <c r="D25" s="399"/>
      <c r="E25" s="399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400"/>
      <c r="Q25" s="1"/>
      <c r="R25" s="1"/>
    </row>
    <row r="26" spans="1:18" ht="15.75" thickBot="1">
      <c r="A26" s="346"/>
      <c r="B26" s="364" t="s">
        <v>14</v>
      </c>
      <c r="C26" s="365"/>
      <c r="D26" s="366"/>
      <c r="E26" s="401" t="s">
        <v>24</v>
      </c>
      <c r="F26" s="403" t="s">
        <v>25</v>
      </c>
      <c r="G26" s="338" t="s">
        <v>44</v>
      </c>
      <c r="H26" s="321"/>
      <c r="I26" s="321"/>
      <c r="J26" s="321"/>
      <c r="K26" s="339"/>
      <c r="L26" s="340" t="s">
        <v>16</v>
      </c>
      <c r="M26" s="340" t="s">
        <v>17</v>
      </c>
      <c r="N26" s="340" t="s">
        <v>18</v>
      </c>
      <c r="O26" s="340" t="s">
        <v>19</v>
      </c>
      <c r="P26" s="340" t="s">
        <v>20</v>
      </c>
      <c r="Q26" s="1"/>
      <c r="R26" s="1"/>
    </row>
    <row r="27" spans="1:18" ht="74.25" customHeight="1" thickBot="1">
      <c r="A27" s="347"/>
      <c r="B27" s="367"/>
      <c r="C27" s="368"/>
      <c r="D27" s="369"/>
      <c r="E27" s="402"/>
      <c r="F27" s="404"/>
      <c r="G27" s="233" t="s">
        <v>45</v>
      </c>
      <c r="H27" s="233" t="s">
        <v>46</v>
      </c>
      <c r="I27" s="233" t="s">
        <v>47</v>
      </c>
      <c r="J27" s="7" t="s">
        <v>48</v>
      </c>
      <c r="K27" s="8" t="s">
        <v>27</v>
      </c>
      <c r="L27" s="341"/>
      <c r="M27" s="341"/>
      <c r="N27" s="341"/>
      <c r="O27" s="341"/>
      <c r="P27" s="341"/>
      <c r="Q27" s="1"/>
      <c r="R27" s="37">
        <v>365352.1499999948</v>
      </c>
    </row>
    <row r="28" spans="1:18" ht="12" customHeight="1" thickBot="1">
      <c r="A28" s="3"/>
      <c r="B28" s="342">
        <v>1</v>
      </c>
      <c r="C28" s="343"/>
      <c r="D28" s="344"/>
      <c r="E28" s="17" t="s">
        <v>22</v>
      </c>
      <c r="F28" s="233">
        <v>3</v>
      </c>
      <c r="G28" s="233">
        <v>4</v>
      </c>
      <c r="H28" s="233">
        <v>5</v>
      </c>
      <c r="I28" s="7">
        <v>6</v>
      </c>
      <c r="J28" s="7">
        <v>7</v>
      </c>
      <c r="K28" s="48">
        <v>8</v>
      </c>
      <c r="L28" s="237">
        <v>9</v>
      </c>
      <c r="M28" s="7">
        <v>10</v>
      </c>
      <c r="N28" s="237">
        <v>11</v>
      </c>
      <c r="O28" s="7">
        <v>12</v>
      </c>
      <c r="P28" s="237">
        <v>13</v>
      </c>
      <c r="Q28" s="1"/>
      <c r="R28" s="1"/>
    </row>
    <row r="29" spans="1:18" ht="15.75" thickBot="1">
      <c r="A29" s="3"/>
      <c r="B29" s="345" t="s">
        <v>23</v>
      </c>
      <c r="C29" s="335"/>
      <c r="D29" s="337"/>
      <c r="E29" s="49">
        <f aca="true" t="shared" si="1" ref="E29:N29">E30+E34+E38+E44+E51+E54+E64+E67+E71+E74+E78+E80+E86+E99+E130+E133+E136+E139</f>
        <v>599920</v>
      </c>
      <c r="F29" s="49">
        <f t="shared" si="1"/>
        <v>12516125</v>
      </c>
      <c r="G29" s="49">
        <f t="shared" si="1"/>
        <v>233818.41999999998</v>
      </c>
      <c r="H29" s="49">
        <f t="shared" si="1"/>
        <v>96189.82</v>
      </c>
      <c r="I29" s="49">
        <f t="shared" si="1"/>
        <v>0</v>
      </c>
      <c r="J29" s="49">
        <f t="shared" si="1"/>
        <v>12530.64</v>
      </c>
      <c r="K29" s="49">
        <f t="shared" si="1"/>
        <v>342538.88</v>
      </c>
      <c r="L29" s="49">
        <f t="shared" si="1"/>
        <v>11854890.419999998</v>
      </c>
      <c r="M29" s="49">
        <f t="shared" si="1"/>
        <v>257381.12000000002</v>
      </c>
      <c r="N29" s="49">
        <f t="shared" si="1"/>
        <v>661234.5800000002</v>
      </c>
      <c r="O29" s="50">
        <v>0</v>
      </c>
      <c r="P29" s="50">
        <v>0</v>
      </c>
      <c r="Q29" s="1"/>
      <c r="R29" s="37">
        <f>3440426+E29</f>
        <v>4040346</v>
      </c>
    </row>
    <row r="30" spans="1:18" ht="15.75" thickBot="1">
      <c r="A30" s="51" t="s">
        <v>21</v>
      </c>
      <c r="B30" s="417" t="s">
        <v>49</v>
      </c>
      <c r="C30" s="418"/>
      <c r="D30" s="419"/>
      <c r="E30" s="52">
        <f>SUM(E31:E32)</f>
        <v>437250</v>
      </c>
      <c r="F30" s="53">
        <f>F31+F32+F33</f>
        <v>6271598</v>
      </c>
      <c r="G30" s="54">
        <f>G31+G32+G33</f>
        <v>109890.49</v>
      </c>
      <c r="H30" s="54">
        <f>H31</f>
        <v>96189.82</v>
      </c>
      <c r="I30" s="54"/>
      <c r="J30" s="54"/>
      <c r="K30" s="53">
        <f>G30+H30</f>
        <v>206080.31</v>
      </c>
      <c r="L30" s="55">
        <f>L31+L32</f>
        <v>5817710.96</v>
      </c>
      <c r="M30" s="56">
        <f>E30-K30</f>
        <v>231169.69</v>
      </c>
      <c r="N30" s="70">
        <f>F30-L30</f>
        <v>453887.04000000004</v>
      </c>
      <c r="O30" s="58">
        <v>0</v>
      </c>
      <c r="P30" s="59">
        <v>0</v>
      </c>
      <c r="Q30" s="37"/>
      <c r="R30" s="37"/>
    </row>
    <row r="31" spans="1:18" ht="19.5" customHeight="1" thickBot="1">
      <c r="A31" s="60" t="s">
        <v>50</v>
      </c>
      <c r="B31" s="411" t="s">
        <v>51</v>
      </c>
      <c r="C31" s="412"/>
      <c r="D31" s="413"/>
      <c r="E31" s="187">
        <v>200000</v>
      </c>
      <c r="F31" s="31">
        <f>2841692+E31</f>
        <v>3041692</v>
      </c>
      <c r="G31" s="62"/>
      <c r="H31" s="62">
        <v>96189.82</v>
      </c>
      <c r="I31" s="62"/>
      <c r="J31" s="62"/>
      <c r="K31" s="45">
        <f>H31</f>
        <v>96189.82</v>
      </c>
      <c r="L31" s="33">
        <f>2605848.69+K31</f>
        <v>2702038.51</v>
      </c>
      <c r="M31" s="34">
        <f>E31-K31</f>
        <v>103810.18</v>
      </c>
      <c r="N31" s="63">
        <f>F31-L31</f>
        <v>339653.4900000002</v>
      </c>
      <c r="O31" s="64">
        <v>0</v>
      </c>
      <c r="P31" s="65">
        <v>0</v>
      </c>
      <c r="Q31" s="37"/>
      <c r="R31" s="37"/>
    </row>
    <row r="32" spans="1:18" ht="28.5" customHeight="1" thickBot="1">
      <c r="A32" s="60" t="s">
        <v>52</v>
      </c>
      <c r="B32" s="405" t="s">
        <v>53</v>
      </c>
      <c r="C32" s="406"/>
      <c r="D32" s="407"/>
      <c r="E32" s="187">
        <v>237250</v>
      </c>
      <c r="F32" s="31">
        <f>2992656+E32</f>
        <v>3229906</v>
      </c>
      <c r="G32" s="62">
        <v>109890.49</v>
      </c>
      <c r="H32" s="62"/>
      <c r="I32" s="62"/>
      <c r="J32" s="62"/>
      <c r="K32" s="33">
        <f>0+G32</f>
        <v>109890.49</v>
      </c>
      <c r="L32" s="33">
        <f>3005781.96+K32</f>
        <v>3115672.45</v>
      </c>
      <c r="M32" s="34">
        <f>E32-K32</f>
        <v>127359.51</v>
      </c>
      <c r="N32" s="63">
        <f>F32-L32</f>
        <v>114233.54999999981</v>
      </c>
      <c r="O32" s="64">
        <v>0</v>
      </c>
      <c r="P32" s="65">
        <v>0</v>
      </c>
      <c r="Q32" s="37"/>
      <c r="R32" s="37"/>
    </row>
    <row r="33" spans="1:18" ht="15.75" thickBot="1">
      <c r="A33" s="60" t="s">
        <v>54</v>
      </c>
      <c r="B33" s="405" t="s">
        <v>55</v>
      </c>
      <c r="C33" s="406"/>
      <c r="D33" s="407"/>
      <c r="E33" s="66"/>
      <c r="F33" s="33"/>
      <c r="G33" s="62"/>
      <c r="H33" s="62"/>
      <c r="I33" s="62"/>
      <c r="J33" s="62"/>
      <c r="K33" s="45"/>
      <c r="L33" s="33"/>
      <c r="M33" s="67"/>
      <c r="N33" s="68"/>
      <c r="O33" s="64"/>
      <c r="P33" s="65"/>
      <c r="Q33" s="37"/>
      <c r="R33" s="37"/>
    </row>
    <row r="34" spans="1:18" ht="33" customHeight="1" thickBot="1">
      <c r="A34" s="69" t="s">
        <v>22</v>
      </c>
      <c r="B34" s="408" t="s">
        <v>56</v>
      </c>
      <c r="C34" s="409"/>
      <c r="D34" s="410"/>
      <c r="E34" s="53">
        <f>SUM(E35:E37)</f>
        <v>88325</v>
      </c>
      <c r="F34" s="53">
        <f>F35+F36+F37</f>
        <v>1266863</v>
      </c>
      <c r="G34" s="54">
        <f>G35+G36+G37</f>
        <v>47611.81</v>
      </c>
      <c r="H34" s="54">
        <f>H35</f>
        <v>0</v>
      </c>
      <c r="I34" s="54"/>
      <c r="J34" s="54"/>
      <c r="K34" s="53">
        <f>G34+H34</f>
        <v>47611.81</v>
      </c>
      <c r="L34" s="55">
        <f>L35+L36</f>
        <v>1373698.75</v>
      </c>
      <c r="M34" s="56">
        <f aca="true" t="shared" si="2" ref="M34:N36">E34-K34</f>
        <v>40713.19</v>
      </c>
      <c r="N34" s="70">
        <f t="shared" si="2"/>
        <v>-106835.75</v>
      </c>
      <c r="O34" s="58">
        <v>0</v>
      </c>
      <c r="P34" s="59">
        <v>0</v>
      </c>
      <c r="Q34" s="1"/>
      <c r="R34" s="1"/>
    </row>
    <row r="35" spans="1:18" ht="21" customHeight="1" thickBot="1">
      <c r="A35" s="60" t="s">
        <v>57</v>
      </c>
      <c r="B35" s="411" t="s">
        <v>51</v>
      </c>
      <c r="C35" s="412"/>
      <c r="D35" s="413"/>
      <c r="E35" s="188">
        <v>40400</v>
      </c>
      <c r="F35" s="31">
        <f>574023+E35</f>
        <v>614423</v>
      </c>
      <c r="G35" s="62"/>
      <c r="H35" s="62"/>
      <c r="I35" s="62"/>
      <c r="J35" s="62"/>
      <c r="K35" s="45">
        <f>H35</f>
        <v>0</v>
      </c>
      <c r="L35" s="33">
        <f>554362.11+K35</f>
        <v>554362.11</v>
      </c>
      <c r="M35" s="34">
        <f t="shared" si="2"/>
        <v>40400</v>
      </c>
      <c r="N35" s="63">
        <f t="shared" si="2"/>
        <v>60060.890000000014</v>
      </c>
      <c r="O35" s="64">
        <v>0</v>
      </c>
      <c r="P35" s="65">
        <v>0</v>
      </c>
      <c r="Q35" s="1"/>
      <c r="R35" s="71">
        <f>10506304-F29</f>
        <v>-2009821</v>
      </c>
    </row>
    <row r="36" spans="1:18" ht="30" customHeight="1" thickBot="1">
      <c r="A36" s="60" t="s">
        <v>58</v>
      </c>
      <c r="B36" s="405" t="s">
        <v>53</v>
      </c>
      <c r="C36" s="406"/>
      <c r="D36" s="407"/>
      <c r="E36" s="188">
        <v>47925</v>
      </c>
      <c r="F36" s="31">
        <f>604515+E36</f>
        <v>652440</v>
      </c>
      <c r="G36" s="62">
        <v>47611.81</v>
      </c>
      <c r="H36" s="62"/>
      <c r="I36" s="62"/>
      <c r="J36" s="62"/>
      <c r="K36" s="45">
        <f>G36</f>
        <v>47611.81</v>
      </c>
      <c r="L36" s="33">
        <f>771724.83+K36</f>
        <v>819336.6399999999</v>
      </c>
      <c r="M36" s="34">
        <f>E36-K36</f>
        <v>313.1900000000023</v>
      </c>
      <c r="N36" s="63">
        <f t="shared" si="2"/>
        <v>-166896.6399999999</v>
      </c>
      <c r="O36" s="64">
        <v>0</v>
      </c>
      <c r="P36" s="65">
        <v>0</v>
      </c>
      <c r="Q36" s="1"/>
      <c r="R36" s="1"/>
    </row>
    <row r="37" spans="1:18" ht="15.75" thickBot="1">
      <c r="A37" s="60" t="s">
        <v>59</v>
      </c>
      <c r="B37" s="405" t="s">
        <v>55</v>
      </c>
      <c r="C37" s="406"/>
      <c r="D37" s="407"/>
      <c r="E37" s="45"/>
      <c r="F37" s="31"/>
      <c r="G37" s="62"/>
      <c r="H37" s="62"/>
      <c r="I37" s="62"/>
      <c r="J37" s="62"/>
      <c r="K37" s="45"/>
      <c r="L37" s="33"/>
      <c r="M37" s="67"/>
      <c r="N37" s="72"/>
      <c r="O37" s="64"/>
      <c r="P37" s="65"/>
      <c r="Q37" s="1"/>
      <c r="R37" s="1"/>
    </row>
    <row r="38" spans="1:18" ht="32.25" customHeight="1" thickBot="1">
      <c r="A38" s="69" t="s">
        <v>60</v>
      </c>
      <c r="B38" s="408" t="s">
        <v>61</v>
      </c>
      <c r="C38" s="409"/>
      <c r="D38" s="410"/>
      <c r="E38" s="53">
        <f>SUM(E41:E43)</f>
        <v>5065</v>
      </c>
      <c r="F38" s="73">
        <f>F41+F42+F43</f>
        <v>43520</v>
      </c>
      <c r="G38" s="54">
        <f>G40</f>
        <v>4434.469999999999</v>
      </c>
      <c r="H38" s="54"/>
      <c r="I38" s="54"/>
      <c r="J38" s="54"/>
      <c r="K38" s="55">
        <f>K39+K40</f>
        <v>4434.469999999999</v>
      </c>
      <c r="L38" s="55">
        <f>L40+L39</f>
        <v>41442.64</v>
      </c>
      <c r="M38" s="56">
        <f>E38-K38</f>
        <v>630.5300000000007</v>
      </c>
      <c r="N38" s="57">
        <f>F38-L38</f>
        <v>2077.3600000000006</v>
      </c>
      <c r="O38" s="58">
        <v>0</v>
      </c>
      <c r="P38" s="59">
        <v>0</v>
      </c>
      <c r="Q38" s="1"/>
      <c r="R38" s="1"/>
    </row>
    <row r="39" spans="1:18" ht="18" customHeight="1" thickBot="1">
      <c r="A39" s="60" t="s">
        <v>62</v>
      </c>
      <c r="B39" s="411" t="s">
        <v>51</v>
      </c>
      <c r="C39" s="412"/>
      <c r="D39" s="413"/>
      <c r="E39" s="33"/>
      <c r="F39" s="31"/>
      <c r="G39" s="62"/>
      <c r="H39" s="62"/>
      <c r="I39" s="62"/>
      <c r="J39" s="62"/>
      <c r="K39" s="45"/>
      <c r="L39" s="33"/>
      <c r="M39" s="67"/>
      <c r="N39" s="72"/>
      <c r="O39" s="64"/>
      <c r="P39" s="65"/>
      <c r="Q39" s="1"/>
      <c r="R39" s="1"/>
    </row>
    <row r="40" spans="1:18" ht="30" customHeight="1" thickBot="1">
      <c r="A40" s="60" t="s">
        <v>63</v>
      </c>
      <c r="B40" s="405" t="s">
        <v>53</v>
      </c>
      <c r="C40" s="406"/>
      <c r="D40" s="407"/>
      <c r="E40" s="45">
        <f>E41+E42+E43</f>
        <v>5065</v>
      </c>
      <c r="F40" s="31">
        <f>38455+E40</f>
        <v>43520</v>
      </c>
      <c r="G40" s="62">
        <f>G41+G42</f>
        <v>4434.469999999999</v>
      </c>
      <c r="H40" s="62"/>
      <c r="I40" s="62"/>
      <c r="J40" s="62"/>
      <c r="K40" s="33">
        <f>0+G40</f>
        <v>4434.469999999999</v>
      </c>
      <c r="L40" s="33">
        <f>L41+L42+L43</f>
        <v>41442.64</v>
      </c>
      <c r="M40" s="34">
        <f>E40-K40</f>
        <v>630.5300000000007</v>
      </c>
      <c r="N40" s="63">
        <f aca="true" t="shared" si="3" ref="M40:N55">F40-L40</f>
        <v>2077.3600000000006</v>
      </c>
      <c r="O40" s="64">
        <v>0</v>
      </c>
      <c r="P40" s="65">
        <v>0</v>
      </c>
      <c r="Q40" s="1"/>
      <c r="R40" s="1"/>
    </row>
    <row r="41" spans="1:18" ht="15.75" thickBot="1">
      <c r="A41" s="60" t="s">
        <v>64</v>
      </c>
      <c r="B41" s="414" t="s">
        <v>65</v>
      </c>
      <c r="C41" s="415"/>
      <c r="D41" s="416"/>
      <c r="E41" s="153">
        <v>2846</v>
      </c>
      <c r="F41" s="31">
        <f>19922+E41</f>
        <v>22768</v>
      </c>
      <c r="G41" s="62">
        <v>2215.47</v>
      </c>
      <c r="H41" s="62"/>
      <c r="I41" s="62"/>
      <c r="J41" s="62"/>
      <c r="K41" s="33">
        <f>0+G41</f>
        <v>2215.47</v>
      </c>
      <c r="L41" s="33">
        <f>19363.17+K41</f>
        <v>21578.64</v>
      </c>
      <c r="M41" s="34">
        <f t="shared" si="3"/>
        <v>630.5300000000002</v>
      </c>
      <c r="N41" s="63">
        <f t="shared" si="3"/>
        <v>1189.3600000000006</v>
      </c>
      <c r="O41" s="64">
        <v>0</v>
      </c>
      <c r="P41" s="65">
        <v>0</v>
      </c>
      <c r="Q41" s="1"/>
      <c r="R41" s="1"/>
    </row>
    <row r="42" spans="1:18" ht="15.75" thickBot="1">
      <c r="A42" s="60" t="s">
        <v>66</v>
      </c>
      <c r="B42" s="414" t="s">
        <v>67</v>
      </c>
      <c r="C42" s="415"/>
      <c r="D42" s="416"/>
      <c r="E42" s="153">
        <v>2219</v>
      </c>
      <c r="F42" s="31">
        <f>15533+E42</f>
        <v>17752</v>
      </c>
      <c r="G42" s="62">
        <v>2219</v>
      </c>
      <c r="H42" s="62"/>
      <c r="I42" s="62"/>
      <c r="J42" s="62"/>
      <c r="K42" s="33">
        <f>0+G42</f>
        <v>2219</v>
      </c>
      <c r="L42" s="33">
        <f>15533+K42</f>
        <v>17752</v>
      </c>
      <c r="M42" s="34">
        <f t="shared" si="3"/>
        <v>0</v>
      </c>
      <c r="N42" s="63">
        <f t="shared" si="3"/>
        <v>0</v>
      </c>
      <c r="O42" s="64">
        <v>0</v>
      </c>
      <c r="P42" s="65">
        <v>0</v>
      </c>
      <c r="Q42" s="1"/>
      <c r="R42" s="1"/>
    </row>
    <row r="43" spans="1:18" ht="15.75" thickBot="1">
      <c r="A43" s="60" t="s">
        <v>68</v>
      </c>
      <c r="B43" s="414" t="s">
        <v>210</v>
      </c>
      <c r="C43" s="415"/>
      <c r="D43" s="416"/>
      <c r="E43" s="153"/>
      <c r="F43" s="31">
        <f>3000+E43</f>
        <v>3000</v>
      </c>
      <c r="G43" s="74"/>
      <c r="H43" s="74"/>
      <c r="I43" s="74"/>
      <c r="J43" s="62"/>
      <c r="K43" s="33">
        <f>0+J43</f>
        <v>0</v>
      </c>
      <c r="L43" s="33">
        <f>2112+K43</f>
        <v>2112</v>
      </c>
      <c r="M43" s="34">
        <f t="shared" si="3"/>
        <v>0</v>
      </c>
      <c r="N43" s="63">
        <f t="shared" si="3"/>
        <v>888</v>
      </c>
      <c r="O43" s="64">
        <v>0</v>
      </c>
      <c r="P43" s="65">
        <v>0</v>
      </c>
      <c r="Q43" s="1"/>
      <c r="R43" s="37"/>
    </row>
    <row r="44" spans="1:18" ht="33" customHeight="1" thickBot="1">
      <c r="A44" s="51" t="s">
        <v>69</v>
      </c>
      <c r="B44" s="408" t="s">
        <v>70</v>
      </c>
      <c r="C44" s="409"/>
      <c r="D44" s="410"/>
      <c r="E44" s="53">
        <f>SUM(E47:E49)</f>
        <v>0</v>
      </c>
      <c r="F44" s="73">
        <f>F45+F46+F47</f>
        <v>1300200</v>
      </c>
      <c r="G44" s="55">
        <f>G45+G46+G47</f>
        <v>8198</v>
      </c>
      <c r="H44" s="75"/>
      <c r="I44" s="75"/>
      <c r="J44" s="54"/>
      <c r="K44" s="55">
        <f>K45+K46+K47</f>
        <v>8198</v>
      </c>
      <c r="L44" s="55">
        <f>L45+L46+L47</f>
        <v>1293090</v>
      </c>
      <c r="M44" s="56">
        <f t="shared" si="3"/>
        <v>-8198</v>
      </c>
      <c r="N44" s="158">
        <f t="shared" si="3"/>
        <v>7110</v>
      </c>
      <c r="O44" s="58">
        <v>0</v>
      </c>
      <c r="P44" s="59">
        <v>0</v>
      </c>
      <c r="Q44" s="1"/>
      <c r="R44" s="1"/>
    </row>
    <row r="45" spans="1:18" ht="27" customHeight="1" thickBot="1">
      <c r="A45" s="60" t="s">
        <v>71</v>
      </c>
      <c r="B45" s="405" t="s">
        <v>53</v>
      </c>
      <c r="C45" s="406"/>
      <c r="D45" s="407"/>
      <c r="E45" s="155">
        <f>E48+E49</f>
        <v>0</v>
      </c>
      <c r="F45" s="31">
        <f>F48+F49+F50</f>
        <v>1300200</v>
      </c>
      <c r="G45" s="33">
        <f>G48+G49</f>
        <v>8198</v>
      </c>
      <c r="H45" s="74"/>
      <c r="I45" s="74"/>
      <c r="J45" s="62"/>
      <c r="K45" s="33">
        <f>0+G45</f>
        <v>8198</v>
      </c>
      <c r="L45" s="33">
        <f>L48+L49</f>
        <v>1293090</v>
      </c>
      <c r="M45" s="34">
        <f>E45-K45</f>
        <v>-8198</v>
      </c>
      <c r="N45" s="35">
        <f t="shared" si="3"/>
        <v>7110</v>
      </c>
      <c r="O45" s="64">
        <v>0</v>
      </c>
      <c r="P45" s="65">
        <v>0</v>
      </c>
      <c r="Q45" s="1"/>
      <c r="R45" s="1"/>
    </row>
    <row r="46" spans="1:18" ht="15.75" customHeight="1" thickBot="1">
      <c r="A46" s="60" t="s">
        <v>72</v>
      </c>
      <c r="B46" s="411" t="s">
        <v>51</v>
      </c>
      <c r="C46" s="412"/>
      <c r="D46" s="413"/>
      <c r="E46" s="76"/>
      <c r="F46" s="31"/>
      <c r="G46" s="33"/>
      <c r="H46" s="74"/>
      <c r="I46" s="74"/>
      <c r="J46" s="62"/>
      <c r="K46" s="33">
        <f aca="true" t="shared" si="4" ref="K46:K53">0+G46</f>
        <v>0</v>
      </c>
      <c r="L46" s="33">
        <f>0+K46</f>
        <v>0</v>
      </c>
      <c r="M46" s="34">
        <f t="shared" si="3"/>
        <v>0</v>
      </c>
      <c r="N46" s="63">
        <f t="shared" si="3"/>
        <v>0</v>
      </c>
      <c r="O46" s="64">
        <v>0</v>
      </c>
      <c r="P46" s="65">
        <v>0</v>
      </c>
      <c r="Q46" s="1"/>
      <c r="R46" s="1"/>
    </row>
    <row r="47" spans="1:18" ht="15.75" thickBot="1">
      <c r="A47" s="60" t="s">
        <v>73</v>
      </c>
      <c r="B47" s="77" t="s">
        <v>55</v>
      </c>
      <c r="C47" s="78"/>
      <c r="D47" s="78"/>
      <c r="E47" s="79"/>
      <c r="F47" s="31"/>
      <c r="G47" s="33"/>
      <c r="H47" s="74"/>
      <c r="I47" s="74"/>
      <c r="J47" s="62"/>
      <c r="K47" s="33">
        <f t="shared" si="4"/>
        <v>0</v>
      </c>
      <c r="L47" s="33">
        <f>0+K47</f>
        <v>0</v>
      </c>
      <c r="M47" s="34">
        <f t="shared" si="3"/>
        <v>0</v>
      </c>
      <c r="N47" s="63">
        <f t="shared" si="3"/>
        <v>0</v>
      </c>
      <c r="O47" s="64">
        <v>0</v>
      </c>
      <c r="P47" s="65">
        <v>0</v>
      </c>
      <c r="Q47" s="1"/>
      <c r="R47" s="80"/>
    </row>
    <row r="48" spans="1:18" ht="15.75" thickBot="1">
      <c r="A48" s="60" t="s">
        <v>74</v>
      </c>
      <c r="B48" s="420" t="s">
        <v>75</v>
      </c>
      <c r="C48" s="421"/>
      <c r="D48" s="422"/>
      <c r="E48" s="156"/>
      <c r="F48" s="31">
        <f>1275000+E48</f>
        <v>1275000</v>
      </c>
      <c r="G48" s="74">
        <v>8198</v>
      </c>
      <c r="H48" s="74"/>
      <c r="I48" s="74"/>
      <c r="J48" s="62"/>
      <c r="K48" s="33">
        <f>0+G48</f>
        <v>8198</v>
      </c>
      <c r="L48" s="33">
        <f>1279805+K48</f>
        <v>1288003</v>
      </c>
      <c r="M48" s="34">
        <f>E48-K48</f>
        <v>-8198</v>
      </c>
      <c r="N48" s="63">
        <f t="shared" si="3"/>
        <v>-13003</v>
      </c>
      <c r="O48" s="64">
        <v>0</v>
      </c>
      <c r="P48" s="65">
        <v>0</v>
      </c>
      <c r="Q48" s="1"/>
      <c r="R48" s="37"/>
    </row>
    <row r="49" spans="1:18" ht="15.75" thickBot="1">
      <c r="A49" s="60" t="s">
        <v>76</v>
      </c>
      <c r="B49" s="420" t="s">
        <v>77</v>
      </c>
      <c r="C49" s="421"/>
      <c r="D49" s="422"/>
      <c r="E49" s="156"/>
      <c r="F49" s="31">
        <f>25200+E49</f>
        <v>25200</v>
      </c>
      <c r="G49" s="74"/>
      <c r="H49" s="74"/>
      <c r="I49" s="74"/>
      <c r="J49" s="62"/>
      <c r="K49" s="33">
        <f t="shared" si="4"/>
        <v>0</v>
      </c>
      <c r="L49" s="33">
        <f>5087+K49</f>
        <v>5087</v>
      </c>
      <c r="M49" s="34">
        <f t="shared" si="3"/>
        <v>0</v>
      </c>
      <c r="N49" s="63">
        <f t="shared" si="3"/>
        <v>20113</v>
      </c>
      <c r="O49" s="64">
        <v>0</v>
      </c>
      <c r="P49" s="65">
        <v>0</v>
      </c>
      <c r="Q49" s="1"/>
      <c r="R49" s="1"/>
    </row>
    <row r="50" spans="1:18" ht="15.75" thickBot="1">
      <c r="A50" s="60" t="s">
        <v>78</v>
      </c>
      <c r="B50" s="420" t="s">
        <v>79</v>
      </c>
      <c r="C50" s="421"/>
      <c r="D50" s="422"/>
      <c r="E50" s="74"/>
      <c r="F50" s="31">
        <f>0+E50</f>
        <v>0</v>
      </c>
      <c r="G50" s="74"/>
      <c r="H50" s="74"/>
      <c r="I50" s="74"/>
      <c r="J50" s="62"/>
      <c r="K50" s="33">
        <f t="shared" si="4"/>
        <v>0</v>
      </c>
      <c r="L50" s="33">
        <f aca="true" t="shared" si="5" ref="L50:L57">0+K50</f>
        <v>0</v>
      </c>
      <c r="M50" s="34">
        <f t="shared" si="3"/>
        <v>0</v>
      </c>
      <c r="N50" s="63">
        <f t="shared" si="3"/>
        <v>0</v>
      </c>
      <c r="O50" s="64">
        <v>0</v>
      </c>
      <c r="P50" s="65">
        <v>0</v>
      </c>
      <c r="Q50" s="1"/>
      <c r="R50" s="1"/>
    </row>
    <row r="51" spans="1:18" ht="43.5" customHeight="1" thickBot="1">
      <c r="A51" s="69" t="s">
        <v>80</v>
      </c>
      <c r="B51" s="423" t="s">
        <v>81</v>
      </c>
      <c r="C51" s="424"/>
      <c r="D51" s="425"/>
      <c r="E51" s="55">
        <v>0</v>
      </c>
      <c r="F51" s="55">
        <v>0</v>
      </c>
      <c r="G51" s="55"/>
      <c r="H51" s="55"/>
      <c r="I51" s="55"/>
      <c r="J51" s="54"/>
      <c r="K51" s="55">
        <f t="shared" si="4"/>
        <v>0</v>
      </c>
      <c r="L51" s="55">
        <f t="shared" si="5"/>
        <v>0</v>
      </c>
      <c r="M51" s="56">
        <f t="shared" si="3"/>
        <v>0</v>
      </c>
      <c r="N51" s="57">
        <f t="shared" si="3"/>
        <v>0</v>
      </c>
      <c r="O51" s="58">
        <v>0</v>
      </c>
      <c r="P51" s="59">
        <v>0</v>
      </c>
      <c r="Q51" s="1"/>
      <c r="R51" s="1"/>
    </row>
    <row r="52" spans="1:18" ht="29.25" customHeight="1" thickBot="1">
      <c r="A52" s="60" t="s">
        <v>82</v>
      </c>
      <c r="B52" s="405" t="s">
        <v>53</v>
      </c>
      <c r="C52" s="406"/>
      <c r="D52" s="407"/>
      <c r="E52" s="33"/>
      <c r="F52" s="33"/>
      <c r="G52" s="33"/>
      <c r="H52" s="33"/>
      <c r="I52" s="33"/>
      <c r="J52" s="62"/>
      <c r="K52" s="33">
        <f t="shared" si="4"/>
        <v>0</v>
      </c>
      <c r="L52" s="33">
        <f t="shared" si="5"/>
        <v>0</v>
      </c>
      <c r="M52" s="34">
        <f t="shared" si="3"/>
        <v>0</v>
      </c>
      <c r="N52" s="63">
        <f t="shared" si="3"/>
        <v>0</v>
      </c>
      <c r="O52" s="64">
        <v>0</v>
      </c>
      <c r="P52" s="65">
        <v>0</v>
      </c>
      <c r="Q52" s="1"/>
      <c r="R52" s="1"/>
    </row>
    <row r="53" spans="1:18" ht="15.75" thickBot="1">
      <c r="A53" s="60" t="s">
        <v>83</v>
      </c>
      <c r="B53" s="457" t="s">
        <v>55</v>
      </c>
      <c r="C53" s="458"/>
      <c r="D53" s="459"/>
      <c r="E53" s="33"/>
      <c r="F53" s="33"/>
      <c r="G53" s="33"/>
      <c r="H53" s="33"/>
      <c r="I53" s="33"/>
      <c r="J53" s="62"/>
      <c r="K53" s="33">
        <f t="shared" si="4"/>
        <v>0</v>
      </c>
      <c r="L53" s="33">
        <f t="shared" si="5"/>
        <v>0</v>
      </c>
      <c r="M53" s="34">
        <f t="shared" si="3"/>
        <v>0</v>
      </c>
      <c r="N53" s="63">
        <f t="shared" si="3"/>
        <v>0</v>
      </c>
      <c r="O53" s="64">
        <v>0</v>
      </c>
      <c r="P53" s="65">
        <v>0</v>
      </c>
      <c r="Q53" s="1"/>
      <c r="R53" s="1"/>
    </row>
    <row r="54" spans="1:18" ht="40.5" customHeight="1" thickBot="1">
      <c r="A54" s="69" t="s">
        <v>84</v>
      </c>
      <c r="B54" s="408" t="s">
        <v>85</v>
      </c>
      <c r="C54" s="409"/>
      <c r="D54" s="410"/>
      <c r="E54" s="53">
        <f>SUM(E59:E63)</f>
        <v>36900</v>
      </c>
      <c r="F54" s="73">
        <f>F55+F58</f>
        <v>1414000</v>
      </c>
      <c r="G54" s="55">
        <f>G55+G56+G57+G58</f>
        <v>5089.5599999999995</v>
      </c>
      <c r="H54" s="55"/>
      <c r="I54" s="55"/>
      <c r="J54" s="55">
        <f>J55+J56+J57+J58</f>
        <v>12530.64</v>
      </c>
      <c r="K54" s="55">
        <f>K55+K56+K57+K58</f>
        <v>17620.199999999997</v>
      </c>
      <c r="L54" s="55">
        <f>L55+L56+L57+L58</f>
        <v>1502868.03</v>
      </c>
      <c r="M54" s="56">
        <f t="shared" si="3"/>
        <v>19279.800000000003</v>
      </c>
      <c r="N54" s="70">
        <f t="shared" si="3"/>
        <v>-88868.03000000003</v>
      </c>
      <c r="O54" s="58">
        <v>0</v>
      </c>
      <c r="P54" s="59">
        <v>0</v>
      </c>
      <c r="Q54" s="1"/>
      <c r="R54" s="37">
        <f>F59+F60+F62+F63-F58</f>
        <v>1356600</v>
      </c>
    </row>
    <row r="55" spans="1:18" ht="15.75" thickBot="1">
      <c r="A55" s="60" t="s">
        <v>86</v>
      </c>
      <c r="B55" s="405" t="s">
        <v>53</v>
      </c>
      <c r="C55" s="406"/>
      <c r="D55" s="407"/>
      <c r="E55" s="81">
        <f>E59+E60+E62+E63-E58</f>
        <v>32900</v>
      </c>
      <c r="F55" s="31">
        <f>1323700+E55</f>
        <v>1356600</v>
      </c>
      <c r="G55" s="33">
        <f>G60+G62+G63+G59</f>
        <v>5089.5599999999995</v>
      </c>
      <c r="H55" s="33"/>
      <c r="I55" s="33"/>
      <c r="J55" s="33"/>
      <c r="K55" s="33">
        <f>0+G55</f>
        <v>5089.5599999999995</v>
      </c>
      <c r="L55" s="33">
        <f>1462677.82+K55</f>
        <v>1467767.3800000001</v>
      </c>
      <c r="M55" s="34">
        <f t="shared" si="3"/>
        <v>27810.440000000002</v>
      </c>
      <c r="N55" s="63">
        <f t="shared" si="3"/>
        <v>-111167.38000000012</v>
      </c>
      <c r="O55" s="64">
        <v>0</v>
      </c>
      <c r="P55" s="65">
        <v>0</v>
      </c>
      <c r="Q55" s="1"/>
      <c r="R55" s="37"/>
    </row>
    <row r="56" spans="1:18" ht="15.75" thickBot="1">
      <c r="A56" s="60" t="s">
        <v>87</v>
      </c>
      <c r="B56" s="411" t="s">
        <v>88</v>
      </c>
      <c r="C56" s="412"/>
      <c r="D56" s="413"/>
      <c r="E56" s="61"/>
      <c r="F56" s="31"/>
      <c r="G56" s="33"/>
      <c r="H56" s="33"/>
      <c r="I56" s="33"/>
      <c r="J56" s="33"/>
      <c r="K56" s="33">
        <f aca="true" t="shared" si="6" ref="K56:K61">0+G56</f>
        <v>0</v>
      </c>
      <c r="L56" s="33">
        <f t="shared" si="5"/>
        <v>0</v>
      </c>
      <c r="M56" s="34">
        <f aca="true" t="shared" si="7" ref="M56:N71">E56-K56</f>
        <v>0</v>
      </c>
      <c r="N56" s="63">
        <f t="shared" si="7"/>
        <v>0</v>
      </c>
      <c r="O56" s="64">
        <v>0</v>
      </c>
      <c r="P56" s="65">
        <v>0</v>
      </c>
      <c r="Q56" s="1"/>
      <c r="R56" s="37"/>
    </row>
    <row r="57" spans="1:18" ht="15.75" thickBot="1">
      <c r="A57" s="60" t="s">
        <v>89</v>
      </c>
      <c r="B57" s="435" t="s">
        <v>55</v>
      </c>
      <c r="C57" s="436"/>
      <c r="D57" s="436"/>
      <c r="E57" s="82"/>
      <c r="F57" s="31"/>
      <c r="G57" s="33"/>
      <c r="H57" s="33"/>
      <c r="I57" s="33"/>
      <c r="J57" s="33"/>
      <c r="K57" s="33">
        <f t="shared" si="6"/>
        <v>0</v>
      </c>
      <c r="L57" s="33">
        <f t="shared" si="5"/>
        <v>0</v>
      </c>
      <c r="M57" s="34">
        <f t="shared" si="7"/>
        <v>0</v>
      </c>
      <c r="N57" s="63">
        <f t="shared" si="7"/>
        <v>0</v>
      </c>
      <c r="O57" s="64">
        <v>0</v>
      </c>
      <c r="P57" s="65">
        <v>0</v>
      </c>
      <c r="Q57" s="1"/>
      <c r="R57" s="37">
        <f>L59+L60+L61+L62+L63</f>
        <v>1502868.03</v>
      </c>
    </row>
    <row r="58" spans="1:18" ht="15.75" thickBot="1">
      <c r="A58" s="60" t="s">
        <v>90</v>
      </c>
      <c r="B58" s="383" t="s">
        <v>40</v>
      </c>
      <c r="C58" s="384"/>
      <c r="D58" s="385"/>
      <c r="E58" s="155">
        <v>4000</v>
      </c>
      <c r="F58" s="31">
        <f>53400+E58</f>
        <v>57400</v>
      </c>
      <c r="G58" s="33"/>
      <c r="H58" s="33"/>
      <c r="I58" s="33"/>
      <c r="J58" s="33">
        <f>J62+J63+J59</f>
        <v>12530.64</v>
      </c>
      <c r="K58" s="33">
        <f>0+J58</f>
        <v>12530.64</v>
      </c>
      <c r="L58" s="33">
        <f>22570.01+K58</f>
        <v>35100.649999999994</v>
      </c>
      <c r="M58" s="34">
        <f t="shared" si="7"/>
        <v>-8530.64</v>
      </c>
      <c r="N58" s="63">
        <f t="shared" si="7"/>
        <v>22299.350000000006</v>
      </c>
      <c r="O58" s="64">
        <v>0</v>
      </c>
      <c r="P58" s="65">
        <v>0</v>
      </c>
      <c r="Q58" s="1"/>
      <c r="R58" s="37">
        <f>F59+F60+F62+F63</f>
        <v>1414000</v>
      </c>
    </row>
    <row r="59" spans="1:18" ht="28.5" customHeight="1" thickBot="1">
      <c r="A59" s="60" t="s">
        <v>91</v>
      </c>
      <c r="B59" s="437" t="s">
        <v>92</v>
      </c>
      <c r="C59" s="438"/>
      <c r="D59" s="439"/>
      <c r="E59" s="156">
        <v>30000</v>
      </c>
      <c r="F59" s="31">
        <f>440000+E59</f>
        <v>470000</v>
      </c>
      <c r="G59" s="74"/>
      <c r="H59" s="74"/>
      <c r="I59" s="74"/>
      <c r="J59" s="33">
        <v>12530.64</v>
      </c>
      <c r="K59" s="33">
        <f>J59+G59</f>
        <v>12530.64</v>
      </c>
      <c r="L59" s="33">
        <f>439211.53+K59</f>
        <v>451742.17000000004</v>
      </c>
      <c r="M59" s="34">
        <f t="shared" si="7"/>
        <v>17469.36</v>
      </c>
      <c r="N59" s="35">
        <f t="shared" si="7"/>
        <v>18257.829999999958</v>
      </c>
      <c r="O59" s="64">
        <v>0</v>
      </c>
      <c r="P59" s="65">
        <v>0</v>
      </c>
      <c r="Q59" s="1"/>
      <c r="R59" s="80"/>
    </row>
    <row r="60" spans="1:18" ht="18.75" customHeight="1" thickBot="1">
      <c r="A60" s="60" t="s">
        <v>93</v>
      </c>
      <c r="B60" s="426" t="s">
        <v>94</v>
      </c>
      <c r="C60" s="427"/>
      <c r="D60" s="427"/>
      <c r="E60" s="152"/>
      <c r="F60" s="31">
        <f>870000+E60</f>
        <v>870000</v>
      </c>
      <c r="G60" s="74"/>
      <c r="H60" s="74"/>
      <c r="I60" s="74"/>
      <c r="J60" s="33"/>
      <c r="K60" s="33">
        <f>0+G60</f>
        <v>0</v>
      </c>
      <c r="L60" s="33">
        <f>986172.22+K60</f>
        <v>986172.22</v>
      </c>
      <c r="M60" s="34">
        <f t="shared" si="7"/>
        <v>0</v>
      </c>
      <c r="N60" s="63">
        <f t="shared" si="7"/>
        <v>-116172.21999999997</v>
      </c>
      <c r="O60" s="64">
        <v>0</v>
      </c>
      <c r="P60" s="65">
        <v>0</v>
      </c>
      <c r="Q60" s="1"/>
      <c r="R60" s="37"/>
    </row>
    <row r="61" spans="1:18" ht="18" customHeight="1" thickBot="1">
      <c r="A61" s="60" t="s">
        <v>93</v>
      </c>
      <c r="B61" s="440" t="s">
        <v>95</v>
      </c>
      <c r="C61" s="441"/>
      <c r="D61" s="442"/>
      <c r="E61" s="152"/>
      <c r="F61" s="31"/>
      <c r="G61" s="74"/>
      <c r="H61" s="74"/>
      <c r="I61" s="74"/>
      <c r="J61" s="33"/>
      <c r="K61" s="33">
        <f t="shared" si="6"/>
        <v>0</v>
      </c>
      <c r="L61" s="33">
        <f>0+K61</f>
        <v>0</v>
      </c>
      <c r="M61" s="34">
        <f t="shared" si="7"/>
        <v>0</v>
      </c>
      <c r="N61" s="63">
        <f t="shared" si="7"/>
        <v>0</v>
      </c>
      <c r="O61" s="64">
        <v>0</v>
      </c>
      <c r="P61" s="65">
        <v>0</v>
      </c>
      <c r="Q61" s="1"/>
      <c r="R61" s="1"/>
    </row>
    <row r="62" spans="1:18" ht="21" customHeight="1" thickBot="1">
      <c r="A62" s="60" t="s">
        <v>96</v>
      </c>
      <c r="B62" s="426" t="s">
        <v>97</v>
      </c>
      <c r="C62" s="427"/>
      <c r="D62" s="428"/>
      <c r="E62" s="152">
        <v>3700</v>
      </c>
      <c r="F62" s="31">
        <f>35600+E62</f>
        <v>39300</v>
      </c>
      <c r="G62" s="83">
        <v>2718.61</v>
      </c>
      <c r="H62" s="84"/>
      <c r="I62" s="74"/>
      <c r="J62" s="74"/>
      <c r="K62" s="33">
        <f>0+J62+G62</f>
        <v>2718.61</v>
      </c>
      <c r="L62" s="33">
        <f>31969.09+K62</f>
        <v>34687.7</v>
      </c>
      <c r="M62" s="34">
        <f t="shared" si="7"/>
        <v>981.3899999999999</v>
      </c>
      <c r="N62" s="63">
        <f t="shared" si="7"/>
        <v>4612.300000000003</v>
      </c>
      <c r="O62" s="64">
        <v>0</v>
      </c>
      <c r="P62" s="65">
        <v>0</v>
      </c>
      <c r="Q62" s="1"/>
      <c r="R62" s="1"/>
    </row>
    <row r="63" spans="1:18" ht="30.75" customHeight="1" thickBot="1">
      <c r="A63" s="60" t="s">
        <v>98</v>
      </c>
      <c r="B63" s="426" t="s">
        <v>99</v>
      </c>
      <c r="C63" s="427"/>
      <c r="D63" s="428"/>
      <c r="E63" s="152">
        <v>3200</v>
      </c>
      <c r="F63" s="31">
        <f>31500+E63</f>
        <v>34700</v>
      </c>
      <c r="G63" s="85">
        <v>2370.95</v>
      </c>
      <c r="H63" s="74"/>
      <c r="I63" s="74"/>
      <c r="J63" s="74"/>
      <c r="K63" s="33">
        <f>0+J63+G63</f>
        <v>2370.95</v>
      </c>
      <c r="L63" s="33">
        <f>27894.99+K63</f>
        <v>30265.940000000002</v>
      </c>
      <c r="M63" s="34">
        <f t="shared" si="7"/>
        <v>829.0500000000002</v>
      </c>
      <c r="N63" s="63">
        <f t="shared" si="7"/>
        <v>4434.059999999998</v>
      </c>
      <c r="O63" s="64">
        <v>0</v>
      </c>
      <c r="P63" s="65">
        <v>0</v>
      </c>
      <c r="Q63" s="1"/>
      <c r="R63" s="1"/>
    </row>
    <row r="64" spans="1:18" ht="42" customHeight="1" thickBot="1">
      <c r="A64" s="86" t="s">
        <v>100</v>
      </c>
      <c r="B64" s="429" t="s">
        <v>101</v>
      </c>
      <c r="C64" s="430"/>
      <c r="D64" s="431"/>
      <c r="E64" s="53">
        <f>E65</f>
        <v>0</v>
      </c>
      <c r="F64" s="73">
        <f>F65+F66</f>
        <v>342500</v>
      </c>
      <c r="G64" s="75">
        <f>G65+G66</f>
        <v>2461</v>
      </c>
      <c r="H64" s="55"/>
      <c r="I64" s="55">
        <f>I66</f>
        <v>0</v>
      </c>
      <c r="J64" s="55">
        <f>J65+J66</f>
        <v>0</v>
      </c>
      <c r="K64" s="55">
        <f>K65+K66</f>
        <v>2461</v>
      </c>
      <c r="L64" s="55">
        <f>L65+L66</f>
        <v>60074</v>
      </c>
      <c r="M64" s="56">
        <f t="shared" si="7"/>
        <v>-2461</v>
      </c>
      <c r="N64" s="70">
        <f t="shared" si="7"/>
        <v>282426</v>
      </c>
      <c r="O64" s="58">
        <v>0</v>
      </c>
      <c r="P64" s="59">
        <v>0</v>
      </c>
      <c r="Q64" s="1"/>
      <c r="R64" s="1"/>
    </row>
    <row r="65" spans="1:18" ht="30" customHeight="1" thickBot="1">
      <c r="A65" s="60" t="s">
        <v>102</v>
      </c>
      <c r="B65" s="405" t="s">
        <v>53</v>
      </c>
      <c r="C65" s="406"/>
      <c r="D65" s="407"/>
      <c r="E65" s="45"/>
      <c r="F65" s="31">
        <f>342500+E65</f>
        <v>342500</v>
      </c>
      <c r="G65" s="74">
        <v>2461</v>
      </c>
      <c r="H65" s="33"/>
      <c r="I65" s="33"/>
      <c r="J65" s="33"/>
      <c r="K65" s="33">
        <f>0+G65</f>
        <v>2461</v>
      </c>
      <c r="L65" s="33">
        <f>57613+K65</f>
        <v>60074</v>
      </c>
      <c r="M65" s="34">
        <f t="shared" si="7"/>
        <v>-2461</v>
      </c>
      <c r="N65" s="35">
        <f t="shared" si="7"/>
        <v>282426</v>
      </c>
      <c r="O65" s="64">
        <v>0</v>
      </c>
      <c r="P65" s="65">
        <v>0</v>
      </c>
      <c r="Q65" s="1"/>
      <c r="R65" s="1"/>
    </row>
    <row r="66" spans="1:18" ht="15.75" thickBot="1">
      <c r="A66" s="60" t="s">
        <v>103</v>
      </c>
      <c r="B66" s="435" t="s">
        <v>104</v>
      </c>
      <c r="C66" s="436"/>
      <c r="D66" s="490"/>
      <c r="E66" s="45"/>
      <c r="F66" s="31"/>
      <c r="G66" s="74"/>
      <c r="H66" s="33"/>
      <c r="I66" s="33"/>
      <c r="J66" s="33"/>
      <c r="K66" s="33">
        <f>0+I66</f>
        <v>0</v>
      </c>
      <c r="L66" s="33">
        <f>0+K66</f>
        <v>0</v>
      </c>
      <c r="M66" s="34">
        <f t="shared" si="7"/>
        <v>0</v>
      </c>
      <c r="N66" s="35">
        <f t="shared" si="7"/>
        <v>0</v>
      </c>
      <c r="O66" s="64">
        <v>0</v>
      </c>
      <c r="P66" s="65">
        <v>0</v>
      </c>
      <c r="Q66" s="1"/>
      <c r="R66" s="1"/>
    </row>
    <row r="67" spans="1:18" ht="30.75" customHeight="1" thickBot="1">
      <c r="A67" s="69" t="s">
        <v>105</v>
      </c>
      <c r="B67" s="432" t="s">
        <v>215</v>
      </c>
      <c r="C67" s="433"/>
      <c r="D67" s="434"/>
      <c r="E67" s="53">
        <f>E68</f>
        <v>0</v>
      </c>
      <c r="F67" s="73">
        <f>F68+F69+F70</f>
        <v>665000</v>
      </c>
      <c r="G67" s="75">
        <f>G68+G69</f>
        <v>33628</v>
      </c>
      <c r="H67" s="55"/>
      <c r="I67" s="55"/>
      <c r="J67" s="55"/>
      <c r="K67" s="55">
        <f>K68+K69+K70</f>
        <v>33628</v>
      </c>
      <c r="L67" s="55">
        <f>0+K67</f>
        <v>33628</v>
      </c>
      <c r="M67" s="56">
        <f t="shared" si="7"/>
        <v>-33628</v>
      </c>
      <c r="N67" s="70">
        <f t="shared" si="7"/>
        <v>631372</v>
      </c>
      <c r="O67" s="58">
        <v>0</v>
      </c>
      <c r="P67" s="59">
        <v>0</v>
      </c>
      <c r="Q67" s="1"/>
      <c r="R67" s="37"/>
    </row>
    <row r="68" spans="1:18" ht="30.75" customHeight="1" thickBot="1">
      <c r="A68" s="60" t="s">
        <v>107</v>
      </c>
      <c r="B68" s="446" t="s">
        <v>53</v>
      </c>
      <c r="C68" s="447"/>
      <c r="D68" s="448"/>
      <c r="E68" s="61"/>
      <c r="F68" s="31">
        <f>665000+E68</f>
        <v>665000</v>
      </c>
      <c r="G68" s="74">
        <v>33628</v>
      </c>
      <c r="H68" s="33"/>
      <c r="I68" s="33"/>
      <c r="J68" s="33"/>
      <c r="K68" s="33">
        <f>G68</f>
        <v>33628</v>
      </c>
      <c r="L68" s="33">
        <f>0+K68</f>
        <v>33628</v>
      </c>
      <c r="M68" s="34">
        <f>E68-K68</f>
        <v>-33628</v>
      </c>
      <c r="N68" s="35">
        <f t="shared" si="7"/>
        <v>631372</v>
      </c>
      <c r="O68" s="64">
        <v>0</v>
      </c>
      <c r="P68" s="65">
        <v>0</v>
      </c>
      <c r="Q68" s="1"/>
      <c r="R68" s="37"/>
    </row>
    <row r="69" spans="1:18" ht="15.75" thickBot="1">
      <c r="A69" s="60" t="s">
        <v>108</v>
      </c>
      <c r="B69" s="435" t="s">
        <v>104</v>
      </c>
      <c r="C69" s="436"/>
      <c r="D69" s="490"/>
      <c r="E69" s="61"/>
      <c r="F69" s="31"/>
      <c r="G69" s="74"/>
      <c r="H69" s="33"/>
      <c r="I69" s="33"/>
      <c r="J69" s="33"/>
      <c r="K69" s="33">
        <f>G69</f>
        <v>0</v>
      </c>
      <c r="L69" s="33">
        <f>0+K69</f>
        <v>0</v>
      </c>
      <c r="M69" s="34">
        <f t="shared" si="7"/>
        <v>0</v>
      </c>
      <c r="N69" s="35">
        <f t="shared" si="7"/>
        <v>0</v>
      </c>
      <c r="O69" s="64">
        <v>0</v>
      </c>
      <c r="P69" s="65">
        <v>0</v>
      </c>
      <c r="Q69" s="1"/>
      <c r="R69" s="37"/>
    </row>
    <row r="70" spans="1:18" ht="15.75" thickBot="1">
      <c r="A70" s="60" t="s">
        <v>109</v>
      </c>
      <c r="B70" s="446" t="s">
        <v>55</v>
      </c>
      <c r="C70" s="447"/>
      <c r="D70" s="448"/>
      <c r="E70" s="81"/>
      <c r="F70" s="31"/>
      <c r="G70" s="74"/>
      <c r="H70" s="33"/>
      <c r="I70" s="33"/>
      <c r="J70" s="33"/>
      <c r="K70" s="33">
        <f>0+J70</f>
        <v>0</v>
      </c>
      <c r="L70" s="33">
        <f>0+K70</f>
        <v>0</v>
      </c>
      <c r="M70" s="34">
        <f t="shared" si="7"/>
        <v>0</v>
      </c>
      <c r="N70" s="35">
        <f t="shared" si="7"/>
        <v>0</v>
      </c>
      <c r="O70" s="64">
        <v>0</v>
      </c>
      <c r="P70" s="65">
        <v>0</v>
      </c>
      <c r="Q70" s="1"/>
      <c r="R70" s="37"/>
    </row>
    <row r="71" spans="1:18" ht="21" customHeight="1" thickBot="1">
      <c r="A71" s="87" t="s">
        <v>110</v>
      </c>
      <c r="B71" s="443" t="s">
        <v>111</v>
      </c>
      <c r="C71" s="444"/>
      <c r="D71" s="445"/>
      <c r="E71" s="53">
        <f>E72+E73</f>
        <v>0</v>
      </c>
      <c r="F71" s="73">
        <f>F72</f>
        <v>19500</v>
      </c>
      <c r="G71" s="75">
        <f>G72+G73</f>
        <v>376</v>
      </c>
      <c r="H71" s="55"/>
      <c r="I71" s="55"/>
      <c r="J71" s="55"/>
      <c r="K71" s="55">
        <f>G71</f>
        <v>376</v>
      </c>
      <c r="L71" s="55">
        <f>L72</f>
        <v>21562</v>
      </c>
      <c r="M71" s="56">
        <f t="shared" si="7"/>
        <v>-376</v>
      </c>
      <c r="N71" s="70">
        <f t="shared" si="7"/>
        <v>-2062</v>
      </c>
      <c r="O71" s="58">
        <v>0</v>
      </c>
      <c r="P71" s="59">
        <v>0</v>
      </c>
      <c r="Q71" s="1"/>
      <c r="R71" s="1"/>
    </row>
    <row r="72" spans="1:18" ht="27" customHeight="1" thickBot="1">
      <c r="A72" s="60" t="s">
        <v>107</v>
      </c>
      <c r="B72" s="405" t="s">
        <v>53</v>
      </c>
      <c r="C72" s="406"/>
      <c r="D72" s="407"/>
      <c r="E72" s="61"/>
      <c r="F72" s="31">
        <f>19500+E72</f>
        <v>19500</v>
      </c>
      <c r="G72" s="74">
        <v>376</v>
      </c>
      <c r="H72" s="33"/>
      <c r="I72" s="33"/>
      <c r="J72" s="33"/>
      <c r="K72" s="33">
        <f>G72</f>
        <v>376</v>
      </c>
      <c r="L72" s="33">
        <f>21186+K72</f>
        <v>21562</v>
      </c>
      <c r="M72" s="34">
        <f aca="true" t="shared" si="8" ref="M72:N82">E72-K72</f>
        <v>-376</v>
      </c>
      <c r="N72" s="35">
        <f t="shared" si="8"/>
        <v>-2062</v>
      </c>
      <c r="O72" s="64">
        <v>0</v>
      </c>
      <c r="P72" s="65">
        <v>0</v>
      </c>
      <c r="Q72" s="1"/>
      <c r="R72" s="1"/>
    </row>
    <row r="73" spans="1:18" ht="15.75" thickBot="1">
      <c r="A73" s="60" t="s">
        <v>109</v>
      </c>
      <c r="B73" s="405" t="s">
        <v>55</v>
      </c>
      <c r="C73" s="406"/>
      <c r="D73" s="407"/>
      <c r="E73" s="81"/>
      <c r="F73" s="31"/>
      <c r="G73" s="74"/>
      <c r="H73" s="33"/>
      <c r="I73" s="33"/>
      <c r="J73" s="33"/>
      <c r="K73" s="33">
        <f>0+J73</f>
        <v>0</v>
      </c>
      <c r="L73" s="33">
        <f>0+K73</f>
        <v>0</v>
      </c>
      <c r="M73" s="34">
        <f t="shared" si="8"/>
        <v>0</v>
      </c>
      <c r="N73" s="35">
        <f t="shared" si="8"/>
        <v>0</v>
      </c>
      <c r="O73" s="64">
        <v>0</v>
      </c>
      <c r="P73" s="65">
        <v>0</v>
      </c>
      <c r="Q73" s="1"/>
      <c r="R73" s="1"/>
    </row>
    <row r="74" spans="1:18" ht="45.75" customHeight="1" thickBot="1">
      <c r="A74" s="87" t="s">
        <v>112</v>
      </c>
      <c r="B74" s="443" t="s">
        <v>113</v>
      </c>
      <c r="C74" s="444"/>
      <c r="D74" s="445"/>
      <c r="E74" s="53">
        <f>E75</f>
        <v>5000</v>
      </c>
      <c r="F74" s="73">
        <f>F75+F76</f>
        <v>217000</v>
      </c>
      <c r="G74" s="75">
        <f>G75+G76+G77</f>
        <v>2294</v>
      </c>
      <c r="H74" s="55"/>
      <c r="I74" s="55">
        <f>I75+I76</f>
        <v>0</v>
      </c>
      <c r="J74" s="55"/>
      <c r="K74" s="55">
        <f>K75+K76+K77</f>
        <v>2294</v>
      </c>
      <c r="L74" s="55">
        <f>L75+L76+L77</f>
        <v>103383.79</v>
      </c>
      <c r="M74" s="56">
        <f t="shared" si="8"/>
        <v>2706</v>
      </c>
      <c r="N74" s="70">
        <f t="shared" si="8"/>
        <v>113616.21</v>
      </c>
      <c r="O74" s="58">
        <v>0</v>
      </c>
      <c r="P74" s="59">
        <v>0</v>
      </c>
      <c r="Q74" s="1"/>
      <c r="R74" s="1"/>
    </row>
    <row r="75" spans="1:18" ht="28.5" customHeight="1" thickBot="1">
      <c r="A75" s="60" t="s">
        <v>114</v>
      </c>
      <c r="B75" s="405" t="s">
        <v>53</v>
      </c>
      <c r="C75" s="406"/>
      <c r="D75" s="407"/>
      <c r="E75" s="61">
        <v>5000</v>
      </c>
      <c r="F75" s="31">
        <f>212000+E75</f>
        <v>217000</v>
      </c>
      <c r="G75" s="74">
        <v>2294</v>
      </c>
      <c r="H75" s="33"/>
      <c r="I75" s="33"/>
      <c r="J75" s="33"/>
      <c r="K75" s="33">
        <f>G75</f>
        <v>2294</v>
      </c>
      <c r="L75" s="33">
        <f>101089.79+K75</f>
        <v>103383.79</v>
      </c>
      <c r="M75" s="34">
        <f>E75-K75</f>
        <v>2706</v>
      </c>
      <c r="N75" s="35">
        <f t="shared" si="8"/>
        <v>113616.21</v>
      </c>
      <c r="O75" s="64">
        <v>0</v>
      </c>
      <c r="P75" s="65">
        <v>0</v>
      </c>
      <c r="Q75" s="1"/>
      <c r="R75" s="1"/>
    </row>
    <row r="76" spans="1:18" ht="15.75" thickBot="1">
      <c r="A76" s="60" t="s">
        <v>115</v>
      </c>
      <c r="B76" s="435" t="s">
        <v>104</v>
      </c>
      <c r="C76" s="436"/>
      <c r="D76" s="490"/>
      <c r="E76" s="81"/>
      <c r="F76" s="31"/>
      <c r="G76" s="74"/>
      <c r="H76" s="33"/>
      <c r="I76" s="33"/>
      <c r="J76" s="33"/>
      <c r="K76" s="33">
        <f>I76</f>
        <v>0</v>
      </c>
      <c r="L76" s="33">
        <f>0+K76</f>
        <v>0</v>
      </c>
      <c r="M76" s="34">
        <f t="shared" si="8"/>
        <v>0</v>
      </c>
      <c r="N76" s="35">
        <f t="shared" si="8"/>
        <v>0</v>
      </c>
      <c r="O76" s="64">
        <v>0</v>
      </c>
      <c r="P76" s="65">
        <v>0</v>
      </c>
      <c r="Q76" s="1"/>
      <c r="R76" s="1"/>
    </row>
    <row r="77" spans="1:18" ht="15.75" thickBot="1">
      <c r="A77" s="60" t="s">
        <v>116</v>
      </c>
      <c r="B77" s="405" t="s">
        <v>55</v>
      </c>
      <c r="C77" s="406"/>
      <c r="D77" s="407"/>
      <c r="E77" s="61"/>
      <c r="F77" s="31"/>
      <c r="G77" s="74"/>
      <c r="H77" s="33"/>
      <c r="I77" s="33"/>
      <c r="J77" s="33"/>
      <c r="K77" s="33">
        <f>0+J77</f>
        <v>0</v>
      </c>
      <c r="L77" s="33">
        <f>0+K77</f>
        <v>0</v>
      </c>
      <c r="M77" s="34">
        <f t="shared" si="8"/>
        <v>0</v>
      </c>
      <c r="N77" s="35">
        <f t="shared" si="8"/>
        <v>0</v>
      </c>
      <c r="O77" s="64">
        <v>0</v>
      </c>
      <c r="P77" s="65">
        <v>0</v>
      </c>
      <c r="Q77" s="1"/>
      <c r="R77" s="1"/>
    </row>
    <row r="78" spans="1:18" ht="51.75" customHeight="1" thickBot="1">
      <c r="A78" s="69" t="s">
        <v>117</v>
      </c>
      <c r="B78" s="408" t="s">
        <v>118</v>
      </c>
      <c r="C78" s="409"/>
      <c r="D78" s="410"/>
      <c r="E78" s="53">
        <f>E79</f>
        <v>0</v>
      </c>
      <c r="F78" s="73">
        <f>F79</f>
        <v>2000</v>
      </c>
      <c r="G78" s="75">
        <f>G79</f>
        <v>0</v>
      </c>
      <c r="H78" s="55"/>
      <c r="I78" s="55"/>
      <c r="J78" s="55"/>
      <c r="K78" s="55">
        <f>0+J78+G78</f>
        <v>0</v>
      </c>
      <c r="L78" s="55">
        <f>L79</f>
        <v>1973.5</v>
      </c>
      <c r="M78" s="56">
        <f t="shared" si="8"/>
        <v>0</v>
      </c>
      <c r="N78" s="70">
        <f t="shared" si="8"/>
        <v>26.5</v>
      </c>
      <c r="O78" s="58">
        <v>0</v>
      </c>
      <c r="P78" s="59">
        <v>0</v>
      </c>
      <c r="Q78" s="1"/>
      <c r="R78" s="1"/>
    </row>
    <row r="79" spans="1:18" ht="30" customHeight="1" thickBot="1">
      <c r="A79" s="60" t="s">
        <v>119</v>
      </c>
      <c r="B79" s="405" t="s">
        <v>53</v>
      </c>
      <c r="C79" s="406"/>
      <c r="D79" s="407"/>
      <c r="E79" s="81">
        <v>0</v>
      </c>
      <c r="F79" s="31">
        <f>2000+E79</f>
        <v>2000</v>
      </c>
      <c r="G79" s="74"/>
      <c r="H79" s="33"/>
      <c r="I79" s="33"/>
      <c r="J79" s="33"/>
      <c r="K79" s="33">
        <f>0+J79+G79</f>
        <v>0</v>
      </c>
      <c r="L79" s="33">
        <f>1973.5+K79</f>
        <v>1973.5</v>
      </c>
      <c r="M79" s="34">
        <f>E79-K79</f>
        <v>0</v>
      </c>
      <c r="N79" s="35">
        <f t="shared" si="8"/>
        <v>26.5</v>
      </c>
      <c r="O79" s="64">
        <v>0</v>
      </c>
      <c r="P79" s="65">
        <v>0</v>
      </c>
      <c r="Q79" s="1"/>
      <c r="R79" s="1"/>
    </row>
    <row r="80" spans="1:18" ht="26.25" customHeight="1" thickBot="1">
      <c r="A80" s="69" t="s">
        <v>120</v>
      </c>
      <c r="B80" s="408" t="s">
        <v>121</v>
      </c>
      <c r="C80" s="409"/>
      <c r="D80" s="410"/>
      <c r="E80" s="53">
        <f>E81</f>
        <v>0</v>
      </c>
      <c r="F80" s="73">
        <f>F81</f>
        <v>18500</v>
      </c>
      <c r="G80" s="75">
        <f>G81</f>
        <v>0</v>
      </c>
      <c r="H80" s="55"/>
      <c r="I80" s="55"/>
      <c r="J80" s="55"/>
      <c r="K80" s="55">
        <f>0+J80+G80</f>
        <v>0</v>
      </c>
      <c r="L80" s="55">
        <f>L81</f>
        <v>12592.98</v>
      </c>
      <c r="M80" s="56">
        <f t="shared" si="8"/>
        <v>0</v>
      </c>
      <c r="N80" s="70">
        <f t="shared" si="8"/>
        <v>5907.02</v>
      </c>
      <c r="O80" s="58">
        <v>0</v>
      </c>
      <c r="P80" s="59">
        <v>0</v>
      </c>
      <c r="Q80" s="1"/>
      <c r="R80" s="1"/>
    </row>
    <row r="81" spans="1:18" ht="27" customHeight="1" thickBot="1">
      <c r="A81" s="60" t="s">
        <v>122</v>
      </c>
      <c r="B81" s="411" t="s">
        <v>53</v>
      </c>
      <c r="C81" s="412"/>
      <c r="D81" s="413"/>
      <c r="E81" s="81">
        <v>0</v>
      </c>
      <c r="F81" s="31">
        <f>18500+E81</f>
        <v>18500</v>
      </c>
      <c r="G81" s="89"/>
      <c r="H81" s="90"/>
      <c r="I81" s="91"/>
      <c r="J81" s="90"/>
      <c r="K81" s="33">
        <f>0+J81+G81</f>
        <v>0</v>
      </c>
      <c r="L81" s="33">
        <f>12592.98+L82</f>
        <v>12592.98</v>
      </c>
      <c r="M81" s="34">
        <f t="shared" si="8"/>
        <v>0</v>
      </c>
      <c r="N81" s="35">
        <f t="shared" si="8"/>
        <v>5907.02</v>
      </c>
      <c r="O81" s="64">
        <v>0</v>
      </c>
      <c r="P81" s="65">
        <v>0</v>
      </c>
      <c r="Q81" s="1"/>
      <c r="R81" s="1"/>
    </row>
    <row r="82" spans="1:18" ht="20.25" customHeight="1" thickBot="1">
      <c r="A82" s="60" t="s">
        <v>123</v>
      </c>
      <c r="B82" s="435" t="s">
        <v>55</v>
      </c>
      <c r="C82" s="436"/>
      <c r="D82" s="490"/>
      <c r="E82" s="81"/>
      <c r="F82" s="33"/>
      <c r="G82" s="74"/>
      <c r="H82" s="92"/>
      <c r="I82" s="33"/>
      <c r="J82" s="92"/>
      <c r="K82" s="33">
        <f>0+J82</f>
        <v>0</v>
      </c>
      <c r="L82" s="33">
        <v>0</v>
      </c>
      <c r="M82" s="34">
        <f>E82-K82</f>
        <v>0</v>
      </c>
      <c r="N82" s="35">
        <f t="shared" si="8"/>
        <v>0</v>
      </c>
      <c r="O82" s="64">
        <v>0</v>
      </c>
      <c r="P82" s="65">
        <v>0</v>
      </c>
      <c r="Q82" s="1"/>
      <c r="R82" s="1"/>
    </row>
    <row r="83" spans="1:18" ht="15.75" customHeight="1" thickBot="1">
      <c r="A83" s="449"/>
      <c r="B83" s="364" t="s">
        <v>14</v>
      </c>
      <c r="C83" s="365"/>
      <c r="D83" s="366"/>
      <c r="E83" s="401" t="s">
        <v>24</v>
      </c>
      <c r="F83" s="403" t="s">
        <v>25</v>
      </c>
      <c r="G83" s="338" t="s">
        <v>44</v>
      </c>
      <c r="H83" s="321"/>
      <c r="I83" s="321"/>
      <c r="J83" s="321"/>
      <c r="K83" s="339"/>
      <c r="L83" s="340" t="s">
        <v>16</v>
      </c>
      <c r="M83" s="340" t="s">
        <v>17</v>
      </c>
      <c r="N83" s="340" t="s">
        <v>18</v>
      </c>
      <c r="O83" s="340" t="s">
        <v>19</v>
      </c>
      <c r="P83" s="340" t="s">
        <v>20</v>
      </c>
      <c r="Q83" s="1"/>
      <c r="R83" s="1"/>
    </row>
    <row r="84" spans="1:18" ht="71.25" customHeight="1" thickBot="1">
      <c r="A84" s="450"/>
      <c r="B84" s="367"/>
      <c r="C84" s="368"/>
      <c r="D84" s="369"/>
      <c r="E84" s="402"/>
      <c r="F84" s="404"/>
      <c r="G84" s="233" t="s">
        <v>45</v>
      </c>
      <c r="H84" s="233" t="s">
        <v>46</v>
      </c>
      <c r="I84" s="233" t="s">
        <v>47</v>
      </c>
      <c r="J84" s="7" t="s">
        <v>124</v>
      </c>
      <c r="K84" s="8" t="s">
        <v>27</v>
      </c>
      <c r="L84" s="341"/>
      <c r="M84" s="341"/>
      <c r="N84" s="341"/>
      <c r="O84" s="341"/>
      <c r="P84" s="341"/>
      <c r="Q84" s="1"/>
      <c r="R84" s="1" t="s">
        <v>216</v>
      </c>
    </row>
    <row r="85" spans="1:18" ht="15.75" thickBot="1">
      <c r="A85" s="60"/>
      <c r="B85" s="342">
        <v>1</v>
      </c>
      <c r="C85" s="343"/>
      <c r="D85" s="344"/>
      <c r="E85" s="17" t="s">
        <v>22</v>
      </c>
      <c r="F85" s="233">
        <v>3</v>
      </c>
      <c r="G85" s="233">
        <v>4</v>
      </c>
      <c r="H85" s="233">
        <v>5</v>
      </c>
      <c r="I85" s="7">
        <v>6</v>
      </c>
      <c r="J85" s="7">
        <v>7</v>
      </c>
      <c r="K85" s="48">
        <v>8</v>
      </c>
      <c r="L85" s="237">
        <v>9</v>
      </c>
      <c r="M85" s="7">
        <v>10</v>
      </c>
      <c r="N85" s="237">
        <v>11</v>
      </c>
      <c r="O85" s="7">
        <v>12</v>
      </c>
      <c r="P85" s="237">
        <v>13</v>
      </c>
      <c r="Q85" s="1"/>
      <c r="R85" s="1"/>
    </row>
    <row r="86" spans="1:18" ht="42.75" customHeight="1" thickBot="1">
      <c r="A86" s="51" t="s">
        <v>125</v>
      </c>
      <c r="B86" s="408" t="s">
        <v>126</v>
      </c>
      <c r="C86" s="409"/>
      <c r="D86" s="410"/>
      <c r="E86" s="53">
        <f>E87</f>
        <v>26380</v>
      </c>
      <c r="F86" s="73">
        <f>F87+F88+F89+F90</f>
        <v>245040</v>
      </c>
      <c r="G86" s="53">
        <f>G87+G88+G89+G90</f>
        <v>19835.09</v>
      </c>
      <c r="H86" s="55"/>
      <c r="I86" s="55">
        <f>I87+I88+I89</f>
        <v>0</v>
      </c>
      <c r="J86" s="55"/>
      <c r="K86" s="93">
        <f>K87+K88+K89+K90</f>
        <v>19835.09</v>
      </c>
      <c r="L86" s="55">
        <f>L87+L88+L89+L90</f>
        <v>217949.68</v>
      </c>
      <c r="M86" s="56">
        <f aca="true" t="shared" si="9" ref="M86:N101">E86-K86</f>
        <v>6544.91</v>
      </c>
      <c r="N86" s="70">
        <f t="shared" si="9"/>
        <v>27090.320000000007</v>
      </c>
      <c r="O86" s="58">
        <v>0</v>
      </c>
      <c r="P86" s="59">
        <v>0</v>
      </c>
      <c r="Q86" s="37"/>
      <c r="R86" s="1"/>
    </row>
    <row r="87" spans="1:18" ht="29.25" customHeight="1" thickBot="1">
      <c r="A87" s="60" t="s">
        <v>127</v>
      </c>
      <c r="B87" s="405" t="s">
        <v>53</v>
      </c>
      <c r="C87" s="406"/>
      <c r="D87" s="407"/>
      <c r="E87" s="61">
        <f>E91+E92+E94+E95+E96+E98+E97+E93</f>
        <v>26380</v>
      </c>
      <c r="F87" s="31">
        <f>218660+E87</f>
        <v>245040</v>
      </c>
      <c r="G87" s="45">
        <f>G92+G94+G95+G96+G91+G98</f>
        <v>19835.09</v>
      </c>
      <c r="H87" s="33"/>
      <c r="I87" s="33"/>
      <c r="J87" s="33"/>
      <c r="K87" s="94">
        <f>G87</f>
        <v>19835.09</v>
      </c>
      <c r="L87" s="33">
        <f>L91+L92+L94+L95+L96+L97+L98+L93</f>
        <v>217949.68</v>
      </c>
      <c r="M87" s="34">
        <f t="shared" si="9"/>
        <v>6544.91</v>
      </c>
      <c r="N87" s="35">
        <f t="shared" si="9"/>
        <v>27090.320000000007</v>
      </c>
      <c r="O87" s="64">
        <v>0</v>
      </c>
      <c r="P87" s="65">
        <v>0</v>
      </c>
      <c r="Q87" s="37"/>
      <c r="R87" s="1"/>
    </row>
    <row r="88" spans="1:18" ht="18.75" customHeight="1" thickBot="1">
      <c r="A88" s="60" t="s">
        <v>128</v>
      </c>
      <c r="B88" s="457" t="s">
        <v>51</v>
      </c>
      <c r="C88" s="458"/>
      <c r="D88" s="459"/>
      <c r="E88" s="61"/>
      <c r="F88" s="31"/>
      <c r="G88" s="45"/>
      <c r="H88" s="33"/>
      <c r="I88" s="33"/>
      <c r="J88" s="33"/>
      <c r="K88" s="94">
        <f aca="true" t="shared" si="10" ref="K88:K97">G88</f>
        <v>0</v>
      </c>
      <c r="L88" s="33"/>
      <c r="M88" s="34">
        <f t="shared" si="9"/>
        <v>0</v>
      </c>
      <c r="N88" s="35">
        <f t="shared" si="9"/>
        <v>0</v>
      </c>
      <c r="O88" s="64">
        <v>0</v>
      </c>
      <c r="P88" s="65">
        <v>0</v>
      </c>
      <c r="Q88" s="37"/>
      <c r="R88" s="1"/>
    </row>
    <row r="89" spans="1:18" ht="30.75" customHeight="1" thickBot="1">
      <c r="A89" s="60" t="s">
        <v>129</v>
      </c>
      <c r="B89" s="405" t="s">
        <v>104</v>
      </c>
      <c r="C89" s="406"/>
      <c r="D89" s="407"/>
      <c r="E89" s="61"/>
      <c r="F89" s="31"/>
      <c r="G89" s="45"/>
      <c r="H89" s="33"/>
      <c r="I89" s="33">
        <f>I95</f>
        <v>0</v>
      </c>
      <c r="J89" s="33"/>
      <c r="K89" s="94">
        <f>I89</f>
        <v>0</v>
      </c>
      <c r="L89" s="33">
        <f>0+K89</f>
        <v>0</v>
      </c>
      <c r="M89" s="34">
        <f t="shared" si="9"/>
        <v>0</v>
      </c>
      <c r="N89" s="35">
        <f t="shared" si="9"/>
        <v>0</v>
      </c>
      <c r="O89" s="64">
        <v>0</v>
      </c>
      <c r="P89" s="65">
        <v>0</v>
      </c>
      <c r="Q89" s="37"/>
      <c r="R89" s="1"/>
    </row>
    <row r="90" spans="1:18" ht="15.75" thickBot="1">
      <c r="A90" s="60" t="s">
        <v>130</v>
      </c>
      <c r="B90" s="405" t="s">
        <v>55</v>
      </c>
      <c r="C90" s="406"/>
      <c r="D90" s="407"/>
      <c r="E90" s="61"/>
      <c r="F90" s="31"/>
      <c r="G90" s="45"/>
      <c r="H90" s="33"/>
      <c r="I90" s="33"/>
      <c r="J90" s="33"/>
      <c r="K90" s="94">
        <f t="shared" si="10"/>
        <v>0</v>
      </c>
      <c r="L90" s="33">
        <f>0+K90</f>
        <v>0</v>
      </c>
      <c r="M90" s="34">
        <f t="shared" si="9"/>
        <v>0</v>
      </c>
      <c r="N90" s="35">
        <f t="shared" si="9"/>
        <v>0</v>
      </c>
      <c r="O90" s="64">
        <v>0</v>
      </c>
      <c r="P90" s="65">
        <v>0</v>
      </c>
      <c r="Q90" s="37"/>
      <c r="R90" s="80">
        <f>L91+L92+L93+L94+L95+L96+L97+L98</f>
        <v>217949.68</v>
      </c>
    </row>
    <row r="91" spans="1:18" ht="15.75" thickBot="1">
      <c r="A91" s="60" t="s">
        <v>131</v>
      </c>
      <c r="B91" s="420" t="s">
        <v>132</v>
      </c>
      <c r="C91" s="421"/>
      <c r="D91" s="422"/>
      <c r="E91" s="152">
        <v>3150</v>
      </c>
      <c r="F91" s="31">
        <f>18900+E91</f>
        <v>22050</v>
      </c>
      <c r="G91" s="45">
        <v>3000</v>
      </c>
      <c r="H91" s="74"/>
      <c r="I91" s="74"/>
      <c r="J91" s="74"/>
      <c r="K91" s="94">
        <f t="shared" si="10"/>
        <v>3000</v>
      </c>
      <c r="L91" s="33">
        <f>21000+K91</f>
        <v>24000</v>
      </c>
      <c r="M91" s="34">
        <f t="shared" si="9"/>
        <v>150</v>
      </c>
      <c r="N91" s="35">
        <f t="shared" si="9"/>
        <v>-1950</v>
      </c>
      <c r="O91" s="64">
        <v>0</v>
      </c>
      <c r="P91" s="65">
        <v>0</v>
      </c>
      <c r="Q91" s="1"/>
      <c r="R91" s="37">
        <f>L87+L88+L89+L90</f>
        <v>217949.68</v>
      </c>
    </row>
    <row r="92" spans="1:18" ht="30" customHeight="1" thickBot="1">
      <c r="A92" s="60" t="s">
        <v>133</v>
      </c>
      <c r="B92" s="414" t="s">
        <v>134</v>
      </c>
      <c r="C92" s="415"/>
      <c r="D92" s="416"/>
      <c r="E92" s="152">
        <v>4600</v>
      </c>
      <c r="F92" s="31">
        <f>27600+E92</f>
        <v>32200</v>
      </c>
      <c r="G92" s="45"/>
      <c r="H92" s="74"/>
      <c r="I92" s="74"/>
      <c r="J92" s="74"/>
      <c r="K92" s="94">
        <f>G92</f>
        <v>0</v>
      </c>
      <c r="L92" s="33">
        <f>31200+K92</f>
        <v>31200</v>
      </c>
      <c r="M92" s="34">
        <f t="shared" si="9"/>
        <v>4600</v>
      </c>
      <c r="N92" s="35">
        <f t="shared" si="9"/>
        <v>1000</v>
      </c>
      <c r="O92" s="64">
        <v>0</v>
      </c>
      <c r="P92" s="65">
        <v>0</v>
      </c>
      <c r="Q92" s="1"/>
      <c r="R92" s="1"/>
    </row>
    <row r="93" spans="1:18" ht="31.5" customHeight="1" thickBot="1">
      <c r="A93" s="60" t="s">
        <v>135</v>
      </c>
      <c r="B93" s="420" t="s">
        <v>136</v>
      </c>
      <c r="C93" s="421"/>
      <c r="D93" s="422"/>
      <c r="E93" s="152"/>
      <c r="F93" s="31">
        <f>0+E93</f>
        <v>0</v>
      </c>
      <c r="G93" s="45"/>
      <c r="H93" s="74"/>
      <c r="I93" s="74"/>
      <c r="J93" s="74"/>
      <c r="K93" s="94">
        <f t="shared" si="10"/>
        <v>0</v>
      </c>
      <c r="L93" s="33">
        <f>0+K93</f>
        <v>0</v>
      </c>
      <c r="M93" s="34">
        <f t="shared" si="9"/>
        <v>0</v>
      </c>
      <c r="N93" s="35">
        <f t="shared" si="9"/>
        <v>0</v>
      </c>
      <c r="O93" s="64">
        <v>0</v>
      </c>
      <c r="P93" s="65">
        <v>0</v>
      </c>
      <c r="Q93" s="1"/>
      <c r="R93" s="1"/>
    </row>
    <row r="94" spans="1:18" ht="29.25" customHeight="1" thickBot="1">
      <c r="A94" s="60" t="s">
        <v>137</v>
      </c>
      <c r="B94" s="420" t="s">
        <v>138</v>
      </c>
      <c r="C94" s="421"/>
      <c r="D94" s="422"/>
      <c r="E94" s="152">
        <v>1420</v>
      </c>
      <c r="F94" s="31">
        <f>8520+E94</f>
        <v>9940</v>
      </c>
      <c r="G94" s="45"/>
      <c r="H94" s="74"/>
      <c r="I94" s="74"/>
      <c r="J94" s="74"/>
      <c r="K94" s="94">
        <f t="shared" si="10"/>
        <v>0</v>
      </c>
      <c r="L94" s="33">
        <f>8225+K94</f>
        <v>8225</v>
      </c>
      <c r="M94" s="34">
        <f t="shared" si="9"/>
        <v>1420</v>
      </c>
      <c r="N94" s="35">
        <f t="shared" si="9"/>
        <v>1715</v>
      </c>
      <c r="O94" s="64">
        <v>0</v>
      </c>
      <c r="P94" s="65">
        <v>0</v>
      </c>
      <c r="Q94" s="1"/>
      <c r="R94" s="1"/>
    </row>
    <row r="95" spans="1:18" ht="18" customHeight="1" thickBot="1">
      <c r="A95" s="60" t="s">
        <v>139</v>
      </c>
      <c r="B95" s="420" t="s">
        <v>140</v>
      </c>
      <c r="C95" s="421"/>
      <c r="D95" s="422"/>
      <c r="E95" s="152">
        <v>4500</v>
      </c>
      <c r="F95" s="31">
        <f>42000+E95</f>
        <v>46500</v>
      </c>
      <c r="G95" s="45">
        <v>2922.29</v>
      </c>
      <c r="H95" s="74"/>
      <c r="I95" s="74"/>
      <c r="J95" s="74"/>
      <c r="K95" s="94">
        <f>G95+I95</f>
        <v>2922.29</v>
      </c>
      <c r="L95" s="33">
        <f>43688.21+K95</f>
        <v>46610.5</v>
      </c>
      <c r="M95" s="34">
        <f t="shared" si="9"/>
        <v>1577.71</v>
      </c>
      <c r="N95" s="35">
        <f t="shared" si="9"/>
        <v>-110.5</v>
      </c>
      <c r="O95" s="64">
        <v>0</v>
      </c>
      <c r="P95" s="65">
        <v>0</v>
      </c>
      <c r="Q95" s="1"/>
      <c r="R95" s="71">
        <f>F91+F92+F93+F94+F95+F96+F97+F98</f>
        <v>205860</v>
      </c>
    </row>
    <row r="96" spans="1:16" ht="20.25" customHeight="1" thickBot="1">
      <c r="A96" s="60" t="s">
        <v>141</v>
      </c>
      <c r="B96" s="491" t="s">
        <v>142</v>
      </c>
      <c r="C96" s="492"/>
      <c r="D96" s="493"/>
      <c r="E96" s="152">
        <v>2910</v>
      </c>
      <c r="F96" s="31">
        <f>17460+E96</f>
        <v>20370</v>
      </c>
      <c r="G96" s="45">
        <v>4600</v>
      </c>
      <c r="H96" s="74"/>
      <c r="I96" s="74"/>
      <c r="J96" s="74"/>
      <c r="K96" s="94">
        <f t="shared" si="10"/>
        <v>4600</v>
      </c>
      <c r="L96" s="33">
        <f>16244+K96</f>
        <v>20844</v>
      </c>
      <c r="M96" s="34">
        <f t="shared" si="9"/>
        <v>-1690</v>
      </c>
      <c r="N96" s="35">
        <f t="shared" si="9"/>
        <v>-474</v>
      </c>
      <c r="O96" s="64">
        <v>0</v>
      </c>
      <c r="P96" s="65">
        <v>0</v>
      </c>
    </row>
    <row r="97" spans="1:16" ht="30" customHeight="1" thickBot="1">
      <c r="A97" s="60" t="s">
        <v>143</v>
      </c>
      <c r="B97" s="420" t="s">
        <v>144</v>
      </c>
      <c r="C97" s="421"/>
      <c r="D97" s="422"/>
      <c r="E97" s="152"/>
      <c r="F97" s="31">
        <f>16000+E97</f>
        <v>16000</v>
      </c>
      <c r="G97" s="45"/>
      <c r="H97" s="74"/>
      <c r="I97" s="74"/>
      <c r="J97" s="74"/>
      <c r="K97" s="94">
        <f t="shared" si="10"/>
        <v>0</v>
      </c>
      <c r="L97" s="33">
        <f>5000+K97</f>
        <v>5000</v>
      </c>
      <c r="M97" s="34">
        <f t="shared" si="9"/>
        <v>0</v>
      </c>
      <c r="N97" s="35">
        <f t="shared" si="9"/>
        <v>11000</v>
      </c>
      <c r="O97" s="64">
        <v>0</v>
      </c>
      <c r="P97" s="65">
        <v>0</v>
      </c>
    </row>
    <row r="98" spans="1:16" ht="20.25" customHeight="1" thickBot="1">
      <c r="A98" s="60" t="s">
        <v>145</v>
      </c>
      <c r="B98" s="420" t="s">
        <v>146</v>
      </c>
      <c r="C98" s="421"/>
      <c r="D98" s="422"/>
      <c r="E98" s="152">
        <v>9800</v>
      </c>
      <c r="F98" s="31">
        <f>49000+E98</f>
        <v>58800</v>
      </c>
      <c r="G98" s="45">
        <v>9312.8</v>
      </c>
      <c r="H98" s="74"/>
      <c r="I98" s="74"/>
      <c r="J98" s="74"/>
      <c r="K98" s="94">
        <f>G98</f>
        <v>9312.8</v>
      </c>
      <c r="L98" s="33">
        <f>72757.38+K98</f>
        <v>82070.18000000001</v>
      </c>
      <c r="M98" s="34">
        <f t="shared" si="9"/>
        <v>487.2000000000007</v>
      </c>
      <c r="N98" s="35">
        <f t="shared" si="9"/>
        <v>-23270.180000000008</v>
      </c>
      <c r="O98" s="64">
        <v>0</v>
      </c>
      <c r="P98" s="65">
        <v>0</v>
      </c>
    </row>
    <row r="99" spans="1:18" ht="32.25" customHeight="1" thickBot="1">
      <c r="A99" s="86" t="s">
        <v>147</v>
      </c>
      <c r="B99" s="423" t="s">
        <v>148</v>
      </c>
      <c r="C99" s="424"/>
      <c r="D99" s="425"/>
      <c r="E99" s="73">
        <f>E100+E101</f>
        <v>1000</v>
      </c>
      <c r="F99" s="73">
        <f>F100+F101+F102+F103</f>
        <v>574900</v>
      </c>
      <c r="G99" s="73">
        <f>G100+G102+G103</f>
        <v>0</v>
      </c>
      <c r="H99" s="75">
        <f>H101</f>
        <v>0</v>
      </c>
      <c r="I99" s="55">
        <f>I102</f>
        <v>0</v>
      </c>
      <c r="J99" s="55"/>
      <c r="K99" s="73">
        <f>G99+H99+I99+J99</f>
        <v>0</v>
      </c>
      <c r="L99" s="55">
        <f>L100+L101+L102+L103</f>
        <v>482581.2</v>
      </c>
      <c r="M99" s="56">
        <f t="shared" si="9"/>
        <v>1000</v>
      </c>
      <c r="N99" s="70">
        <f t="shared" si="9"/>
        <v>92318.79999999999</v>
      </c>
      <c r="O99" s="58">
        <v>0</v>
      </c>
      <c r="P99" s="59">
        <v>0</v>
      </c>
      <c r="R99" s="95">
        <f>L100+L102-L99</f>
        <v>0</v>
      </c>
    </row>
    <row r="100" spans="1:18" ht="27.75" customHeight="1" thickBot="1">
      <c r="A100" s="60" t="s">
        <v>149</v>
      </c>
      <c r="B100" s="405" t="s">
        <v>53</v>
      </c>
      <c r="C100" s="406"/>
      <c r="D100" s="407"/>
      <c r="E100" s="61">
        <f>E104+E105+E112+E117+E129+E111+E126+E113+E118</f>
        <v>1000</v>
      </c>
      <c r="F100" s="31">
        <f>573900+E100</f>
        <v>574900</v>
      </c>
      <c r="G100" s="74">
        <f>G111++G105+G112+G116+G118+G126+G117+G104</f>
        <v>0</v>
      </c>
      <c r="H100" s="74"/>
      <c r="I100" s="33"/>
      <c r="J100" s="33"/>
      <c r="K100" s="94">
        <f>G100</f>
        <v>0</v>
      </c>
      <c r="L100" s="33">
        <f>482581.2+K100</f>
        <v>482581.2</v>
      </c>
      <c r="M100" s="34">
        <f t="shared" si="9"/>
        <v>1000</v>
      </c>
      <c r="N100" s="35">
        <f t="shared" si="9"/>
        <v>92318.79999999999</v>
      </c>
      <c r="O100" s="64">
        <v>0</v>
      </c>
      <c r="P100" s="65">
        <v>0</v>
      </c>
      <c r="R100" s="95"/>
    </row>
    <row r="101" spans="1:18" ht="15.75" thickBot="1">
      <c r="A101" s="60" t="s">
        <v>150</v>
      </c>
      <c r="B101" s="457" t="s">
        <v>51</v>
      </c>
      <c r="C101" s="458"/>
      <c r="D101" s="459"/>
      <c r="E101" s="61">
        <f>E127</f>
        <v>0</v>
      </c>
      <c r="F101" s="31">
        <f>0+E101</f>
        <v>0</v>
      </c>
      <c r="G101" s="74"/>
      <c r="H101" s="74">
        <f>H127</f>
        <v>0</v>
      </c>
      <c r="I101" s="33"/>
      <c r="J101" s="33"/>
      <c r="K101" s="94">
        <f>H101</f>
        <v>0</v>
      </c>
      <c r="L101" s="33">
        <f>0+K101</f>
        <v>0</v>
      </c>
      <c r="M101" s="34">
        <f t="shared" si="9"/>
        <v>0</v>
      </c>
      <c r="N101" s="35">
        <f t="shared" si="9"/>
        <v>0</v>
      </c>
      <c r="O101" s="64">
        <v>0</v>
      </c>
      <c r="P101" s="65">
        <v>0</v>
      </c>
      <c r="R101" s="96"/>
    </row>
    <row r="102" spans="1:16" ht="27.75" customHeight="1" thickBot="1">
      <c r="A102" s="60" t="s">
        <v>151</v>
      </c>
      <c r="B102" s="405" t="s">
        <v>104</v>
      </c>
      <c r="C102" s="406"/>
      <c r="D102" s="407"/>
      <c r="E102" s="61"/>
      <c r="F102" s="31"/>
      <c r="G102" s="31"/>
      <c r="H102" s="74"/>
      <c r="I102" s="33">
        <f>I126+I115+I129</f>
        <v>0</v>
      </c>
      <c r="J102" s="33"/>
      <c r="K102" s="94">
        <f>I102</f>
        <v>0</v>
      </c>
      <c r="L102" s="33">
        <f>0+K102</f>
        <v>0</v>
      </c>
      <c r="M102" s="34">
        <f aca="true" t="shared" si="11" ref="M102:N118">E102-K102</f>
        <v>0</v>
      </c>
      <c r="N102" s="35">
        <f t="shared" si="11"/>
        <v>0</v>
      </c>
      <c r="O102" s="64">
        <v>0</v>
      </c>
      <c r="P102" s="65">
        <v>0</v>
      </c>
    </row>
    <row r="103" spans="1:18" ht="18" customHeight="1" thickBot="1">
      <c r="A103" s="60" t="s">
        <v>152</v>
      </c>
      <c r="B103" s="457" t="s">
        <v>55</v>
      </c>
      <c r="C103" s="458"/>
      <c r="D103" s="459"/>
      <c r="E103" s="61"/>
      <c r="F103" s="31"/>
      <c r="G103" s="74"/>
      <c r="H103" s="74"/>
      <c r="I103" s="33"/>
      <c r="J103" s="33"/>
      <c r="K103" s="94">
        <f>G103</f>
        <v>0</v>
      </c>
      <c r="L103" s="33">
        <f>0+K103</f>
        <v>0</v>
      </c>
      <c r="M103" s="34">
        <f t="shared" si="11"/>
        <v>0</v>
      </c>
      <c r="N103" s="35">
        <f t="shared" si="11"/>
        <v>0</v>
      </c>
      <c r="O103" s="64">
        <v>0</v>
      </c>
      <c r="P103" s="65">
        <v>0</v>
      </c>
      <c r="R103" s="95">
        <f>L104+L111+L112+L116+L117+L129</f>
        <v>63196.14</v>
      </c>
    </row>
    <row r="104" spans="1:16" ht="30.75" customHeight="1" thickBot="1">
      <c r="A104" s="60" t="s">
        <v>153</v>
      </c>
      <c r="B104" s="460" t="s">
        <v>154</v>
      </c>
      <c r="C104" s="461"/>
      <c r="D104" s="462"/>
      <c r="E104" s="31"/>
      <c r="F104" s="31">
        <f>40000+E104</f>
        <v>40000</v>
      </c>
      <c r="G104" s="74"/>
      <c r="H104" s="74"/>
      <c r="I104" s="74"/>
      <c r="J104" s="74"/>
      <c r="K104" s="94">
        <f aca="true" t="shared" si="12" ref="K104:K118">G104</f>
        <v>0</v>
      </c>
      <c r="L104" s="33">
        <f>7600+K104</f>
        <v>7600</v>
      </c>
      <c r="M104" s="34">
        <f t="shared" si="11"/>
        <v>0</v>
      </c>
      <c r="N104" s="35">
        <f t="shared" si="11"/>
        <v>32400</v>
      </c>
      <c r="O104" s="64">
        <v>0</v>
      </c>
      <c r="P104" s="65">
        <v>0</v>
      </c>
    </row>
    <row r="105" spans="1:16" ht="30" customHeight="1" thickBot="1">
      <c r="A105" s="60" t="s">
        <v>155</v>
      </c>
      <c r="B105" s="420" t="s">
        <v>156</v>
      </c>
      <c r="C105" s="421"/>
      <c r="D105" s="422"/>
      <c r="E105" s="31"/>
      <c r="F105" s="31">
        <f>11200+E105</f>
        <v>11200</v>
      </c>
      <c r="G105" s="74"/>
      <c r="H105" s="74"/>
      <c r="I105" s="74"/>
      <c r="J105" s="74"/>
      <c r="K105" s="94">
        <f t="shared" si="12"/>
        <v>0</v>
      </c>
      <c r="L105" s="33">
        <f>2800+K105</f>
        <v>2800</v>
      </c>
      <c r="M105" s="34">
        <f t="shared" si="11"/>
        <v>0</v>
      </c>
      <c r="N105" s="35">
        <f t="shared" si="11"/>
        <v>8400</v>
      </c>
      <c r="O105" s="64">
        <v>0</v>
      </c>
      <c r="P105" s="65">
        <v>0</v>
      </c>
    </row>
    <row r="106" spans="1:16" ht="30" customHeight="1" thickBot="1">
      <c r="A106" s="60" t="s">
        <v>157</v>
      </c>
      <c r="B106" s="466" t="s">
        <v>158</v>
      </c>
      <c r="C106" s="467"/>
      <c r="D106" s="468"/>
      <c r="E106" s="31"/>
      <c r="F106" s="31"/>
      <c r="G106" s="74"/>
      <c r="H106" s="74"/>
      <c r="I106" s="74"/>
      <c r="J106" s="74"/>
      <c r="K106" s="94">
        <f t="shared" si="12"/>
        <v>0</v>
      </c>
      <c r="L106" s="33">
        <f>0+K106</f>
        <v>0</v>
      </c>
      <c r="M106" s="34">
        <f t="shared" si="11"/>
        <v>0</v>
      </c>
      <c r="N106" s="35">
        <f t="shared" si="11"/>
        <v>0</v>
      </c>
      <c r="O106" s="64">
        <v>0</v>
      </c>
      <c r="P106" s="65">
        <v>0</v>
      </c>
    </row>
    <row r="107" spans="1:16" ht="21" customHeight="1" thickBot="1">
      <c r="A107" s="60" t="s">
        <v>159</v>
      </c>
      <c r="B107" s="420" t="s">
        <v>160</v>
      </c>
      <c r="C107" s="421"/>
      <c r="D107" s="422"/>
      <c r="E107" s="31"/>
      <c r="F107" s="31"/>
      <c r="G107" s="74"/>
      <c r="H107" s="74"/>
      <c r="I107" s="74"/>
      <c r="J107" s="74"/>
      <c r="K107" s="94">
        <f t="shared" si="12"/>
        <v>0</v>
      </c>
      <c r="L107" s="33">
        <f>0+K107</f>
        <v>0</v>
      </c>
      <c r="M107" s="34">
        <f t="shared" si="11"/>
        <v>0</v>
      </c>
      <c r="N107" s="35">
        <f t="shared" si="11"/>
        <v>0</v>
      </c>
      <c r="O107" s="64">
        <v>0</v>
      </c>
      <c r="P107" s="65">
        <v>0</v>
      </c>
    </row>
    <row r="108" spans="1:18" ht="28.5" customHeight="1" thickBot="1">
      <c r="A108" s="60" t="s">
        <v>161</v>
      </c>
      <c r="B108" s="420" t="s">
        <v>162</v>
      </c>
      <c r="C108" s="421"/>
      <c r="D108" s="422"/>
      <c r="E108" s="31"/>
      <c r="F108" s="31"/>
      <c r="G108" s="74"/>
      <c r="H108" s="74"/>
      <c r="I108" s="74"/>
      <c r="J108" s="74"/>
      <c r="K108" s="94">
        <f t="shared" si="12"/>
        <v>0</v>
      </c>
      <c r="L108" s="33">
        <f>0+K108</f>
        <v>0</v>
      </c>
      <c r="M108" s="34">
        <f t="shared" si="11"/>
        <v>0</v>
      </c>
      <c r="N108" s="35">
        <f t="shared" si="11"/>
        <v>0</v>
      </c>
      <c r="O108" s="64">
        <v>0</v>
      </c>
      <c r="P108" s="65">
        <v>0</v>
      </c>
      <c r="R108" s="96"/>
    </row>
    <row r="109" spans="1:16" ht="28.5" customHeight="1" thickBot="1">
      <c r="A109" s="60" t="s">
        <v>163</v>
      </c>
      <c r="B109" s="466" t="s">
        <v>164</v>
      </c>
      <c r="C109" s="467"/>
      <c r="D109" s="468"/>
      <c r="E109" s="31"/>
      <c r="F109" s="31"/>
      <c r="G109" s="74"/>
      <c r="H109" s="74"/>
      <c r="I109" s="74"/>
      <c r="J109" s="74"/>
      <c r="K109" s="94">
        <f t="shared" si="12"/>
        <v>0</v>
      </c>
      <c r="L109" s="33">
        <f>0+K109</f>
        <v>0</v>
      </c>
      <c r="M109" s="34">
        <f t="shared" si="11"/>
        <v>0</v>
      </c>
      <c r="N109" s="35">
        <f t="shared" si="11"/>
        <v>0</v>
      </c>
      <c r="O109" s="64">
        <v>0</v>
      </c>
      <c r="P109" s="65">
        <v>0</v>
      </c>
    </row>
    <row r="110" spans="1:16" ht="28.5" customHeight="1" thickBot="1">
      <c r="A110" s="60" t="s">
        <v>165</v>
      </c>
      <c r="B110" s="420" t="s">
        <v>166</v>
      </c>
      <c r="C110" s="421"/>
      <c r="D110" s="422"/>
      <c r="E110" s="31"/>
      <c r="F110" s="31"/>
      <c r="G110" s="74"/>
      <c r="H110" s="74"/>
      <c r="I110" s="74"/>
      <c r="J110" s="74"/>
      <c r="K110" s="94">
        <f t="shared" si="12"/>
        <v>0</v>
      </c>
      <c r="L110" s="33">
        <f>0+K110</f>
        <v>0</v>
      </c>
      <c r="M110" s="34">
        <f t="shared" si="11"/>
        <v>0</v>
      </c>
      <c r="N110" s="35">
        <f t="shared" si="11"/>
        <v>0</v>
      </c>
      <c r="O110" s="64">
        <v>0</v>
      </c>
      <c r="P110" s="65">
        <v>0</v>
      </c>
    </row>
    <row r="111" spans="1:18" ht="19.5" customHeight="1" thickBot="1">
      <c r="A111" s="60" t="s">
        <v>167</v>
      </c>
      <c r="B111" s="420" t="s">
        <v>168</v>
      </c>
      <c r="C111" s="421"/>
      <c r="D111" s="422"/>
      <c r="E111" s="31"/>
      <c r="F111" s="31"/>
      <c r="G111" s="74"/>
      <c r="H111" s="74"/>
      <c r="I111" s="74"/>
      <c r="J111" s="74"/>
      <c r="K111" s="94">
        <f t="shared" si="12"/>
        <v>0</v>
      </c>
      <c r="L111" s="33">
        <f>35790+K111</f>
        <v>35790</v>
      </c>
      <c r="M111" s="34">
        <f t="shared" si="11"/>
        <v>0</v>
      </c>
      <c r="N111" s="35">
        <f t="shared" si="11"/>
        <v>-35790</v>
      </c>
      <c r="O111" s="64">
        <v>0</v>
      </c>
      <c r="P111" s="65">
        <v>0</v>
      </c>
      <c r="R111" s="95"/>
    </row>
    <row r="112" spans="1:16" ht="28.5" customHeight="1" thickBot="1">
      <c r="A112" s="60" t="s">
        <v>169</v>
      </c>
      <c r="B112" s="420" t="s">
        <v>170</v>
      </c>
      <c r="C112" s="421"/>
      <c r="D112" s="422"/>
      <c r="E112" s="31">
        <v>1000</v>
      </c>
      <c r="F112" s="31">
        <f>5000+E112</f>
        <v>6000</v>
      </c>
      <c r="G112" s="74"/>
      <c r="H112" s="74"/>
      <c r="I112" s="74"/>
      <c r="J112" s="74"/>
      <c r="K112" s="94">
        <f t="shared" si="12"/>
        <v>0</v>
      </c>
      <c r="L112" s="33">
        <f>11903.46+K112</f>
        <v>11903.46</v>
      </c>
      <c r="M112" s="34">
        <f>E112-K112</f>
        <v>1000</v>
      </c>
      <c r="N112" s="35">
        <f t="shared" si="11"/>
        <v>-5903.459999999999</v>
      </c>
      <c r="O112" s="64">
        <v>0</v>
      </c>
      <c r="P112" s="65">
        <v>0</v>
      </c>
    </row>
    <row r="113" spans="1:16" ht="28.5" customHeight="1" thickBot="1">
      <c r="A113" s="60" t="s">
        <v>171</v>
      </c>
      <c r="B113" s="420" t="s">
        <v>172</v>
      </c>
      <c r="C113" s="421"/>
      <c r="D113" s="422"/>
      <c r="E113" s="31"/>
      <c r="F113" s="31">
        <f>164000+E113</f>
        <v>164000</v>
      </c>
      <c r="G113" s="74"/>
      <c r="H113" s="74"/>
      <c r="I113" s="74"/>
      <c r="J113" s="74"/>
      <c r="K113" s="94">
        <f t="shared" si="12"/>
        <v>0</v>
      </c>
      <c r="L113" s="33">
        <f>0+K113</f>
        <v>0</v>
      </c>
      <c r="M113" s="34">
        <f t="shared" si="11"/>
        <v>0</v>
      </c>
      <c r="N113" s="35">
        <f t="shared" si="11"/>
        <v>164000</v>
      </c>
      <c r="O113" s="64">
        <v>0</v>
      </c>
      <c r="P113" s="65">
        <v>0</v>
      </c>
    </row>
    <row r="114" spans="1:16" ht="28.5" customHeight="1" thickBot="1">
      <c r="A114" s="60" t="s">
        <v>173</v>
      </c>
      <c r="B114" s="420" t="s">
        <v>174</v>
      </c>
      <c r="C114" s="421"/>
      <c r="D114" s="422"/>
      <c r="E114" s="31"/>
      <c r="F114" s="31"/>
      <c r="G114" s="74"/>
      <c r="H114" s="74"/>
      <c r="I114" s="74"/>
      <c r="J114" s="74"/>
      <c r="K114" s="94">
        <f t="shared" si="12"/>
        <v>0</v>
      </c>
      <c r="L114" s="33">
        <f>0+K114</f>
        <v>0</v>
      </c>
      <c r="M114" s="34">
        <f t="shared" si="11"/>
        <v>0</v>
      </c>
      <c r="N114" s="35">
        <f t="shared" si="11"/>
        <v>0</v>
      </c>
      <c r="O114" s="64">
        <v>0</v>
      </c>
      <c r="P114" s="65">
        <v>0</v>
      </c>
    </row>
    <row r="115" spans="1:16" ht="28.5" customHeight="1" thickBot="1">
      <c r="A115" s="60"/>
      <c r="B115" s="420" t="s">
        <v>175</v>
      </c>
      <c r="C115" s="421"/>
      <c r="D115" s="422"/>
      <c r="E115" s="31"/>
      <c r="F115" s="31"/>
      <c r="G115" s="74"/>
      <c r="H115" s="74"/>
      <c r="I115" s="74"/>
      <c r="J115" s="74"/>
      <c r="K115" s="94">
        <f>I115</f>
        <v>0</v>
      </c>
      <c r="L115" s="33">
        <f>0+K115</f>
        <v>0</v>
      </c>
      <c r="M115" s="34">
        <f t="shared" si="11"/>
        <v>0</v>
      </c>
      <c r="N115" s="35">
        <f t="shared" si="11"/>
        <v>0</v>
      </c>
      <c r="O115" s="64">
        <v>0</v>
      </c>
      <c r="P115" s="65">
        <v>0</v>
      </c>
    </row>
    <row r="116" spans="1:16" ht="28.5" customHeight="1" thickBot="1">
      <c r="A116" s="60" t="s">
        <v>176</v>
      </c>
      <c r="B116" s="420" t="s">
        <v>177</v>
      </c>
      <c r="C116" s="421"/>
      <c r="D116" s="422"/>
      <c r="E116" s="31"/>
      <c r="F116" s="31"/>
      <c r="G116" s="74"/>
      <c r="H116" s="74"/>
      <c r="I116" s="74"/>
      <c r="J116" s="74"/>
      <c r="K116" s="94">
        <f>G116</f>
        <v>0</v>
      </c>
      <c r="L116" s="33">
        <f>1356.68+K116</f>
        <v>1356.68</v>
      </c>
      <c r="M116" s="34">
        <f t="shared" si="11"/>
        <v>0</v>
      </c>
      <c r="N116" s="35">
        <f t="shared" si="11"/>
        <v>-1356.68</v>
      </c>
      <c r="O116" s="64">
        <v>0</v>
      </c>
      <c r="P116" s="65">
        <v>0</v>
      </c>
    </row>
    <row r="117" spans="1:18" ht="28.5" customHeight="1" thickBot="1">
      <c r="A117" s="60" t="s">
        <v>178</v>
      </c>
      <c r="B117" s="463" t="s">
        <v>179</v>
      </c>
      <c r="C117" s="464"/>
      <c r="D117" s="465"/>
      <c r="E117" s="31"/>
      <c r="F117" s="31"/>
      <c r="G117" s="74"/>
      <c r="H117" s="74"/>
      <c r="I117" s="74"/>
      <c r="J117" s="74"/>
      <c r="K117" s="94">
        <f>G117</f>
        <v>0</v>
      </c>
      <c r="L117" s="33">
        <f>6546+K117</f>
        <v>6546</v>
      </c>
      <c r="M117" s="34">
        <f t="shared" si="11"/>
        <v>0</v>
      </c>
      <c r="N117" s="35">
        <f t="shared" si="11"/>
        <v>-6546</v>
      </c>
      <c r="O117" s="64">
        <v>0</v>
      </c>
      <c r="P117" s="65">
        <v>0</v>
      </c>
      <c r="R117" s="96">
        <f>F129+F127+F126+F117+F113+F112+F111+F105+F104</f>
        <v>527200</v>
      </c>
    </row>
    <row r="118" spans="1:16" ht="28.5" customHeight="1" thickBot="1">
      <c r="A118" s="97" t="s">
        <v>180</v>
      </c>
      <c r="B118" s="420" t="s">
        <v>181</v>
      </c>
      <c r="C118" s="421"/>
      <c r="D118" s="422"/>
      <c r="E118" s="31"/>
      <c r="F118" s="31">
        <f>5500+E118</f>
        <v>5500</v>
      </c>
      <c r="G118" s="74"/>
      <c r="H118" s="74"/>
      <c r="I118" s="74"/>
      <c r="J118" s="74"/>
      <c r="K118" s="94">
        <f t="shared" si="12"/>
        <v>0</v>
      </c>
      <c r="L118" s="33">
        <f>10850+K118</f>
        <v>10850</v>
      </c>
      <c r="M118" s="34">
        <f t="shared" si="11"/>
        <v>0</v>
      </c>
      <c r="N118" s="35">
        <f t="shared" si="11"/>
        <v>-5350</v>
      </c>
      <c r="O118" s="64">
        <v>0</v>
      </c>
      <c r="P118" s="65">
        <v>0</v>
      </c>
    </row>
    <row r="119" spans="1:16" ht="13.5" customHeight="1" thickBot="1">
      <c r="A119" s="98"/>
      <c r="B119" s="396" t="s">
        <v>43</v>
      </c>
      <c r="C119" s="396"/>
      <c r="D119" s="396"/>
      <c r="E119" s="396"/>
      <c r="F119" s="396"/>
      <c r="G119" s="396"/>
      <c r="H119" s="396"/>
      <c r="I119" s="396"/>
      <c r="J119" s="396"/>
      <c r="K119" s="396"/>
      <c r="L119" s="396"/>
      <c r="M119" s="396"/>
      <c r="N119" s="396"/>
      <c r="O119" s="396"/>
      <c r="P119" s="397"/>
    </row>
    <row r="120" spans="1:16" ht="15.75" hidden="1" thickBot="1">
      <c r="A120" s="99"/>
      <c r="B120" s="399"/>
      <c r="C120" s="399"/>
      <c r="D120" s="399"/>
      <c r="E120" s="399"/>
      <c r="F120" s="399"/>
      <c r="G120" s="399"/>
      <c r="H120" s="399"/>
      <c r="I120" s="399"/>
      <c r="J120" s="399"/>
      <c r="K120" s="399"/>
      <c r="L120" s="399"/>
      <c r="M120" s="399"/>
      <c r="N120" s="399"/>
      <c r="O120" s="399"/>
      <c r="P120" s="400"/>
    </row>
    <row r="121" spans="1:16" ht="15.75" thickBot="1">
      <c r="A121" s="100"/>
      <c r="B121" s="471" t="s">
        <v>14</v>
      </c>
      <c r="C121" s="472"/>
      <c r="D121" s="473"/>
      <c r="E121" s="477" t="s">
        <v>24</v>
      </c>
      <c r="F121" s="479" t="s">
        <v>25</v>
      </c>
      <c r="G121" s="481" t="s">
        <v>44</v>
      </c>
      <c r="H121" s="482"/>
      <c r="I121" s="482"/>
      <c r="J121" s="482"/>
      <c r="K121" s="483"/>
      <c r="L121" s="469" t="s">
        <v>16</v>
      </c>
      <c r="M121" s="469" t="s">
        <v>17</v>
      </c>
      <c r="N121" s="469" t="s">
        <v>18</v>
      </c>
      <c r="O121" s="469" t="s">
        <v>19</v>
      </c>
      <c r="P121" s="469" t="s">
        <v>20</v>
      </c>
    </row>
    <row r="122" spans="1:16" ht="62.25" customHeight="1" thickBot="1">
      <c r="A122" s="240"/>
      <c r="B122" s="474"/>
      <c r="C122" s="475"/>
      <c r="D122" s="476"/>
      <c r="E122" s="478"/>
      <c r="F122" s="480"/>
      <c r="G122" s="102" t="s">
        <v>45</v>
      </c>
      <c r="H122" s="102" t="s">
        <v>46</v>
      </c>
      <c r="I122" s="102" t="s">
        <v>47</v>
      </c>
      <c r="J122" s="103" t="s">
        <v>48</v>
      </c>
      <c r="K122" s="104" t="s">
        <v>27</v>
      </c>
      <c r="L122" s="470"/>
      <c r="M122" s="470"/>
      <c r="N122" s="470"/>
      <c r="O122" s="470"/>
      <c r="P122" s="470"/>
    </row>
    <row r="123" spans="1:16" ht="15.75" thickBot="1">
      <c r="A123" s="105"/>
      <c r="B123" s="342">
        <v>1</v>
      </c>
      <c r="C123" s="343"/>
      <c r="D123" s="344"/>
      <c r="E123" s="17" t="s">
        <v>22</v>
      </c>
      <c r="F123" s="233">
        <v>3</v>
      </c>
      <c r="G123" s="233">
        <v>4</v>
      </c>
      <c r="H123" s="233">
        <v>5</v>
      </c>
      <c r="I123" s="7">
        <v>6</v>
      </c>
      <c r="J123" s="7">
        <v>7</v>
      </c>
      <c r="K123" s="48">
        <v>8</v>
      </c>
      <c r="L123" s="237">
        <v>9</v>
      </c>
      <c r="M123" s="7">
        <v>10</v>
      </c>
      <c r="N123" s="237">
        <v>11</v>
      </c>
      <c r="O123" s="7">
        <v>12</v>
      </c>
      <c r="P123" s="237">
        <v>13</v>
      </c>
    </row>
    <row r="124" spans="1:16" ht="34.5" customHeight="1" thickBot="1">
      <c r="A124" s="106" t="s">
        <v>182</v>
      </c>
      <c r="B124" s="411" t="s">
        <v>183</v>
      </c>
      <c r="C124" s="412"/>
      <c r="D124" s="413"/>
      <c r="E124" s="31"/>
      <c r="F124" s="31"/>
      <c r="G124" s="74"/>
      <c r="H124" s="74"/>
      <c r="I124" s="74"/>
      <c r="J124" s="74"/>
      <c r="K124" s="94">
        <f aca="true" t="shared" si="13" ref="K124:K138">G124</f>
        <v>0</v>
      </c>
      <c r="L124" s="33">
        <f>0+K124</f>
        <v>0</v>
      </c>
      <c r="M124" s="34">
        <f aca="true" t="shared" si="14" ref="M124:N139">E124-K124</f>
        <v>0</v>
      </c>
      <c r="N124" s="35">
        <f t="shared" si="14"/>
        <v>0</v>
      </c>
      <c r="O124" s="64">
        <v>0</v>
      </c>
      <c r="P124" s="65">
        <v>0</v>
      </c>
    </row>
    <row r="125" spans="1:16" ht="41.25" thickBot="1">
      <c r="A125" s="107" t="s">
        <v>184</v>
      </c>
      <c r="B125" s="426" t="s">
        <v>185</v>
      </c>
      <c r="C125" s="427"/>
      <c r="D125" s="428"/>
      <c r="E125" s="31"/>
      <c r="F125" s="31"/>
      <c r="G125" s="74"/>
      <c r="H125" s="74"/>
      <c r="I125" s="74"/>
      <c r="J125" s="74"/>
      <c r="K125" s="94">
        <f t="shared" si="13"/>
        <v>0</v>
      </c>
      <c r="L125" s="33">
        <f>0+K125</f>
        <v>0</v>
      </c>
      <c r="M125" s="34">
        <f t="shared" si="14"/>
        <v>0</v>
      </c>
      <c r="N125" s="35">
        <f t="shared" si="14"/>
        <v>0</v>
      </c>
      <c r="O125" s="64">
        <v>0</v>
      </c>
      <c r="P125" s="65">
        <v>0</v>
      </c>
    </row>
    <row r="126" spans="1:16" ht="41.25" customHeight="1" thickBot="1">
      <c r="A126" s="108" t="s">
        <v>186</v>
      </c>
      <c r="B126" s="426" t="s">
        <v>187</v>
      </c>
      <c r="C126" s="427"/>
      <c r="D126" s="428"/>
      <c r="E126" s="31"/>
      <c r="F126" s="31">
        <f>300000+E126</f>
        <v>300000</v>
      </c>
      <c r="G126" s="74"/>
      <c r="H126" s="74"/>
      <c r="I126" s="74"/>
      <c r="J126" s="74"/>
      <c r="K126" s="94">
        <f>I126+G126</f>
        <v>0</v>
      </c>
      <c r="L126" s="33">
        <f>402715.062+K126</f>
        <v>402715.062</v>
      </c>
      <c r="M126" s="34">
        <f t="shared" si="14"/>
        <v>0</v>
      </c>
      <c r="N126" s="35">
        <f t="shared" si="14"/>
        <v>-102715.06199999998</v>
      </c>
      <c r="O126" s="64">
        <v>0</v>
      </c>
      <c r="P126" s="65">
        <v>0</v>
      </c>
    </row>
    <row r="127" spans="1:16" ht="48" customHeight="1" thickBot="1">
      <c r="A127" s="108" t="s">
        <v>188</v>
      </c>
      <c r="B127" s="426" t="s">
        <v>189</v>
      </c>
      <c r="C127" s="427"/>
      <c r="D127" s="428"/>
      <c r="E127" s="31"/>
      <c r="F127" s="31">
        <f>0+E127</f>
        <v>0</v>
      </c>
      <c r="G127" s="74"/>
      <c r="H127" s="74"/>
      <c r="I127" s="74"/>
      <c r="J127" s="74"/>
      <c r="K127" s="94">
        <f>H127</f>
        <v>0</v>
      </c>
      <c r="L127" s="33">
        <f>0+K127</f>
        <v>0</v>
      </c>
      <c r="M127" s="34">
        <f t="shared" si="14"/>
        <v>0</v>
      </c>
      <c r="N127" s="35">
        <f t="shared" si="14"/>
        <v>0</v>
      </c>
      <c r="O127" s="64">
        <v>0</v>
      </c>
      <c r="P127" s="65">
        <v>0</v>
      </c>
    </row>
    <row r="128" spans="1:16" ht="44.25" customHeight="1" thickBot="1">
      <c r="A128" s="109" t="s">
        <v>190</v>
      </c>
      <c r="B128" s="426" t="s">
        <v>191</v>
      </c>
      <c r="C128" s="427"/>
      <c r="D128" s="428"/>
      <c r="E128" s="31"/>
      <c r="F128" s="31"/>
      <c r="G128" s="74"/>
      <c r="H128" s="74"/>
      <c r="I128" s="74"/>
      <c r="J128" s="74"/>
      <c r="K128" s="94">
        <f>G128</f>
        <v>0</v>
      </c>
      <c r="L128" s="33">
        <f>3020+K128</f>
        <v>3020</v>
      </c>
      <c r="M128" s="34">
        <f t="shared" si="14"/>
        <v>0</v>
      </c>
      <c r="N128" s="35">
        <f t="shared" si="14"/>
        <v>-3020</v>
      </c>
      <c r="O128" s="64">
        <v>0</v>
      </c>
      <c r="P128" s="65">
        <v>0</v>
      </c>
    </row>
    <row r="129" spans="1:16" ht="48.75" customHeight="1" thickBot="1">
      <c r="A129" s="109" t="s">
        <v>192</v>
      </c>
      <c r="B129" s="494" t="s">
        <v>193</v>
      </c>
      <c r="C129" s="495"/>
      <c r="D129" s="496"/>
      <c r="E129" s="31"/>
      <c r="F129" s="31">
        <f>6000+E129</f>
        <v>6000</v>
      </c>
      <c r="G129" s="74"/>
      <c r="H129" s="74"/>
      <c r="I129" s="74"/>
      <c r="J129" s="74"/>
      <c r="K129" s="94">
        <f>G129+I129</f>
        <v>0</v>
      </c>
      <c r="L129" s="33">
        <f>0+K129</f>
        <v>0</v>
      </c>
      <c r="M129" s="34">
        <f t="shared" si="14"/>
        <v>0</v>
      </c>
      <c r="N129" s="35">
        <f t="shared" si="14"/>
        <v>6000</v>
      </c>
      <c r="O129" s="64">
        <v>0</v>
      </c>
      <c r="P129" s="65">
        <v>0</v>
      </c>
    </row>
    <row r="130" spans="1:19" ht="36.75" customHeight="1" thickBot="1">
      <c r="A130" s="259">
        <v>15</v>
      </c>
      <c r="B130" s="418" t="s">
        <v>194</v>
      </c>
      <c r="C130" s="418"/>
      <c r="D130" s="419"/>
      <c r="E130" s="73">
        <f>E131+E132</f>
        <v>0</v>
      </c>
      <c r="F130" s="73">
        <f>F131</f>
        <v>130000</v>
      </c>
      <c r="G130" s="75">
        <f>G131+G132</f>
        <v>0</v>
      </c>
      <c r="H130" s="74"/>
      <c r="I130" s="74"/>
      <c r="J130" s="74"/>
      <c r="K130" s="93">
        <f t="shared" si="13"/>
        <v>0</v>
      </c>
      <c r="L130" s="55">
        <f>L131+L132</f>
        <v>13440.82</v>
      </c>
      <c r="M130" s="56">
        <f t="shared" si="14"/>
        <v>0</v>
      </c>
      <c r="N130" s="70">
        <f t="shared" si="14"/>
        <v>116559.18</v>
      </c>
      <c r="O130" s="58">
        <v>0</v>
      </c>
      <c r="P130" s="59">
        <v>0</v>
      </c>
      <c r="Q130" s="1"/>
      <c r="R130" s="1"/>
      <c r="S130" s="1"/>
    </row>
    <row r="131" spans="1:19" ht="29.25" customHeight="1" thickBot="1">
      <c r="A131" s="60" t="s">
        <v>195</v>
      </c>
      <c r="B131" s="405" t="s">
        <v>53</v>
      </c>
      <c r="C131" s="406"/>
      <c r="D131" s="407"/>
      <c r="E131" s="155"/>
      <c r="F131" s="31">
        <f>130000+E131</f>
        <v>130000</v>
      </c>
      <c r="G131" s="74"/>
      <c r="H131" s="74"/>
      <c r="I131" s="74"/>
      <c r="J131" s="74"/>
      <c r="K131" s="94">
        <f t="shared" si="13"/>
        <v>0</v>
      </c>
      <c r="L131" s="33">
        <f>13440.82+K131</f>
        <v>13440.82</v>
      </c>
      <c r="M131" s="34">
        <f t="shared" si="14"/>
        <v>0</v>
      </c>
      <c r="N131" s="35">
        <f t="shared" si="14"/>
        <v>116559.18</v>
      </c>
      <c r="O131" s="64">
        <v>0</v>
      </c>
      <c r="P131" s="65">
        <v>0</v>
      </c>
      <c r="Q131" s="1"/>
      <c r="R131" s="1"/>
      <c r="S131" s="1"/>
    </row>
    <row r="132" spans="1:19" ht="32.25" customHeight="1" thickBot="1">
      <c r="A132" s="60" t="s">
        <v>196</v>
      </c>
      <c r="B132" s="405" t="s">
        <v>104</v>
      </c>
      <c r="C132" s="406"/>
      <c r="D132" s="407"/>
      <c r="E132" s="61"/>
      <c r="F132" s="31"/>
      <c r="G132" s="74"/>
      <c r="H132" s="74"/>
      <c r="I132" s="74"/>
      <c r="J132" s="74"/>
      <c r="K132" s="94">
        <f t="shared" si="13"/>
        <v>0</v>
      </c>
      <c r="L132" s="33">
        <f>0+K132</f>
        <v>0</v>
      </c>
      <c r="M132" s="34">
        <f t="shared" si="14"/>
        <v>0</v>
      </c>
      <c r="N132" s="35">
        <f t="shared" si="14"/>
        <v>0</v>
      </c>
      <c r="O132" s="64">
        <v>0</v>
      </c>
      <c r="P132" s="65">
        <v>0</v>
      </c>
      <c r="Q132" s="1"/>
      <c r="R132" s="1"/>
      <c r="S132" s="1"/>
    </row>
    <row r="133" spans="1:19" ht="30" customHeight="1" thickBot="1">
      <c r="A133" s="260">
        <v>16</v>
      </c>
      <c r="B133" s="418" t="s">
        <v>197</v>
      </c>
      <c r="C133" s="418"/>
      <c r="D133" s="419"/>
      <c r="E133" s="31">
        <v>0</v>
      </c>
      <c r="F133" s="73">
        <f>F134</f>
        <v>0</v>
      </c>
      <c r="G133" s="75">
        <f>G134+G135</f>
        <v>0</v>
      </c>
      <c r="H133" s="74"/>
      <c r="I133" s="74"/>
      <c r="J133" s="74"/>
      <c r="K133" s="93">
        <f t="shared" si="13"/>
        <v>0</v>
      </c>
      <c r="L133" s="55">
        <f>0+K133</f>
        <v>0</v>
      </c>
      <c r="M133" s="56">
        <f t="shared" si="14"/>
        <v>0</v>
      </c>
      <c r="N133" s="70">
        <f t="shared" si="14"/>
        <v>0</v>
      </c>
      <c r="O133" s="58">
        <v>0</v>
      </c>
      <c r="P133" s="59">
        <v>0</v>
      </c>
      <c r="Q133" s="1"/>
      <c r="R133" s="1"/>
      <c r="S133" s="1"/>
    </row>
    <row r="134" spans="1:19" ht="27" customHeight="1" thickBot="1">
      <c r="A134" s="60" t="s">
        <v>198</v>
      </c>
      <c r="B134" s="405" t="s">
        <v>53</v>
      </c>
      <c r="C134" s="406"/>
      <c r="D134" s="407"/>
      <c r="E134" s="61"/>
      <c r="F134" s="31">
        <v>0</v>
      </c>
      <c r="G134" s="74"/>
      <c r="H134" s="74"/>
      <c r="I134" s="74"/>
      <c r="J134" s="74"/>
      <c r="K134" s="94">
        <f t="shared" si="13"/>
        <v>0</v>
      </c>
      <c r="L134" s="33">
        <f>0+K134</f>
        <v>0</v>
      </c>
      <c r="M134" s="34">
        <f t="shared" si="14"/>
        <v>0</v>
      </c>
      <c r="N134" s="35">
        <f t="shared" si="14"/>
        <v>0</v>
      </c>
      <c r="O134" s="64">
        <v>0</v>
      </c>
      <c r="P134" s="65">
        <v>0</v>
      </c>
      <c r="Q134" s="1"/>
      <c r="R134" s="1"/>
      <c r="S134" s="1"/>
    </row>
    <row r="135" spans="1:19" ht="41.25" customHeight="1" thickBot="1">
      <c r="A135" s="60" t="s">
        <v>199</v>
      </c>
      <c r="B135" s="405" t="s">
        <v>104</v>
      </c>
      <c r="C135" s="406"/>
      <c r="D135" s="407"/>
      <c r="E135" s="61"/>
      <c r="F135" s="31"/>
      <c r="G135" s="74"/>
      <c r="H135" s="74"/>
      <c r="I135" s="74"/>
      <c r="J135" s="74"/>
      <c r="K135" s="94">
        <f t="shared" si="13"/>
        <v>0</v>
      </c>
      <c r="L135" s="33">
        <f>0+K135</f>
        <v>0</v>
      </c>
      <c r="M135" s="34">
        <f t="shared" si="14"/>
        <v>0</v>
      </c>
      <c r="N135" s="35">
        <f t="shared" si="14"/>
        <v>0</v>
      </c>
      <c r="O135" s="64">
        <v>0</v>
      </c>
      <c r="P135" s="65">
        <v>0</v>
      </c>
      <c r="Q135" s="1"/>
      <c r="R135" s="1"/>
      <c r="S135" s="1"/>
    </row>
    <row r="136" spans="1:19" ht="47.25" customHeight="1" thickBot="1">
      <c r="A136" s="259">
        <v>17</v>
      </c>
      <c r="B136" s="418" t="s">
        <v>200</v>
      </c>
      <c r="C136" s="418"/>
      <c r="D136" s="419"/>
      <c r="E136" s="73">
        <v>0</v>
      </c>
      <c r="F136" s="73">
        <f>F137</f>
        <v>5504</v>
      </c>
      <c r="G136" s="75">
        <f>G137+G138</f>
        <v>0</v>
      </c>
      <c r="H136" s="75"/>
      <c r="I136" s="75"/>
      <c r="J136" s="75"/>
      <c r="K136" s="93">
        <f t="shared" si="13"/>
        <v>0</v>
      </c>
      <c r="L136" s="55">
        <f>L137</f>
        <v>23504</v>
      </c>
      <c r="M136" s="56">
        <f t="shared" si="14"/>
        <v>0</v>
      </c>
      <c r="N136" s="70">
        <f t="shared" si="14"/>
        <v>-18000</v>
      </c>
      <c r="O136" s="58">
        <v>0</v>
      </c>
      <c r="P136" s="59">
        <v>0</v>
      </c>
      <c r="Q136" s="1"/>
      <c r="R136" s="1"/>
      <c r="S136" s="1"/>
    </row>
    <row r="137" spans="1:19" ht="27" customHeight="1" thickBot="1">
      <c r="A137" s="60" t="s">
        <v>201</v>
      </c>
      <c r="B137" s="405" t="s">
        <v>53</v>
      </c>
      <c r="C137" s="406"/>
      <c r="D137" s="407"/>
      <c r="E137" s="61"/>
      <c r="F137" s="31">
        <f>5504+E137</f>
        <v>5504</v>
      </c>
      <c r="G137" s="74"/>
      <c r="H137" s="74"/>
      <c r="I137" s="74"/>
      <c r="J137" s="74"/>
      <c r="K137" s="94">
        <f t="shared" si="13"/>
        <v>0</v>
      </c>
      <c r="L137" s="33">
        <f>23504+K137</f>
        <v>23504</v>
      </c>
      <c r="M137" s="34">
        <f t="shared" si="14"/>
        <v>0</v>
      </c>
      <c r="N137" s="35">
        <f t="shared" si="14"/>
        <v>-18000</v>
      </c>
      <c r="O137" s="64">
        <v>0</v>
      </c>
      <c r="P137" s="65">
        <v>0</v>
      </c>
      <c r="Q137" s="1"/>
      <c r="R137" s="1"/>
      <c r="S137" s="1"/>
    </row>
    <row r="138" spans="1:19" ht="29.25" customHeight="1" thickBot="1">
      <c r="A138" s="60" t="s">
        <v>202</v>
      </c>
      <c r="B138" s="405" t="s">
        <v>104</v>
      </c>
      <c r="C138" s="406"/>
      <c r="D138" s="407"/>
      <c r="E138" s="61"/>
      <c r="F138" s="31"/>
      <c r="G138" s="74"/>
      <c r="H138" s="74"/>
      <c r="I138" s="74"/>
      <c r="J138" s="74"/>
      <c r="K138" s="94">
        <f t="shared" si="13"/>
        <v>0</v>
      </c>
      <c r="L138" s="33">
        <f>0+K138</f>
        <v>0</v>
      </c>
      <c r="M138" s="34">
        <f t="shared" si="14"/>
        <v>0</v>
      </c>
      <c r="N138" s="35">
        <f t="shared" si="14"/>
        <v>0</v>
      </c>
      <c r="O138" s="64">
        <v>0</v>
      </c>
      <c r="P138" s="65">
        <v>0</v>
      </c>
      <c r="Q138" s="1"/>
      <c r="R138" s="1"/>
      <c r="S138" s="1"/>
    </row>
    <row r="139" spans="1:19" ht="22.5" customHeight="1" thickBot="1">
      <c r="A139" s="110">
        <v>18</v>
      </c>
      <c r="B139" s="424" t="s">
        <v>42</v>
      </c>
      <c r="C139" s="424"/>
      <c r="D139" s="425"/>
      <c r="E139" s="31">
        <v>0</v>
      </c>
      <c r="F139" s="31"/>
      <c r="G139" s="74"/>
      <c r="H139" s="74"/>
      <c r="I139" s="74"/>
      <c r="J139" s="75"/>
      <c r="K139" s="93">
        <f>J139</f>
        <v>0</v>
      </c>
      <c r="L139" s="55">
        <f>855390.07+K139</f>
        <v>855390.07</v>
      </c>
      <c r="M139" s="56">
        <f>E139-K139</f>
        <v>0</v>
      </c>
      <c r="N139" s="70">
        <f t="shared" si="14"/>
        <v>-855390.07</v>
      </c>
      <c r="O139" s="58">
        <v>0</v>
      </c>
      <c r="P139" s="59">
        <v>0</v>
      </c>
      <c r="Q139" s="1"/>
      <c r="R139" s="1"/>
      <c r="S139" s="1"/>
    </row>
    <row r="140" spans="1:19" ht="59.25" customHeight="1" thickBot="1">
      <c r="A140" s="112"/>
      <c r="B140" s="488" t="s">
        <v>203</v>
      </c>
      <c r="C140" s="488"/>
      <c r="D140" s="488"/>
      <c r="E140" s="488"/>
      <c r="F140" s="113"/>
      <c r="G140" s="113" t="s">
        <v>4</v>
      </c>
      <c r="H140" s="235" t="s">
        <v>5</v>
      </c>
      <c r="I140" s="338" t="s">
        <v>6</v>
      </c>
      <c r="J140" s="339"/>
      <c r="K140" s="8" t="s">
        <v>11</v>
      </c>
      <c r="L140" s="7" t="s">
        <v>8</v>
      </c>
      <c r="M140" s="7" t="s">
        <v>9</v>
      </c>
      <c r="N140" s="115" t="s">
        <v>10</v>
      </c>
      <c r="O140" s="116"/>
      <c r="P140" s="236"/>
      <c r="Q140" s="1"/>
      <c r="R140" s="1"/>
      <c r="S140" s="1"/>
    </row>
    <row r="141" spans="1:19" ht="23.25" customHeight="1" thickBot="1">
      <c r="A141" s="118"/>
      <c r="B141" s="488" t="s">
        <v>12</v>
      </c>
      <c r="C141" s="488"/>
      <c r="D141" s="488"/>
      <c r="E141" s="489"/>
      <c r="F141" s="119"/>
      <c r="G141" s="119">
        <v>0</v>
      </c>
      <c r="H141" s="4">
        <v>0</v>
      </c>
      <c r="I141" s="330">
        <v>0</v>
      </c>
      <c r="J141" s="331"/>
      <c r="K141" s="120"/>
      <c r="L141" s="4">
        <v>0</v>
      </c>
      <c r="M141" s="231">
        <v>0</v>
      </c>
      <c r="N141" s="231">
        <v>0</v>
      </c>
      <c r="O141" s="4"/>
      <c r="P141" s="4">
        <v>0</v>
      </c>
      <c r="Q141" s="1"/>
      <c r="R141" s="1"/>
      <c r="S141" s="1"/>
    </row>
    <row r="142" spans="1:19" ht="27" customHeight="1" thickBot="1">
      <c r="A142" s="112"/>
      <c r="B142" s="488" t="s">
        <v>13</v>
      </c>
      <c r="C142" s="488"/>
      <c r="D142" s="488"/>
      <c r="E142" s="489"/>
      <c r="F142" s="4"/>
      <c r="G142" s="4">
        <f>F10+G17-G32-G36-G40-G45-G55-G65-G68-G72-G75-G79-G87-G100-G131-G134-G137-G81</f>
        <v>-400702.12</v>
      </c>
      <c r="H142" s="4">
        <f>G18+H10-H29</f>
        <v>525480.78</v>
      </c>
      <c r="I142" s="330">
        <f>I10+G19-I102-I66-I95-I76</f>
        <v>0</v>
      </c>
      <c r="J142" s="331"/>
      <c r="K142" s="120">
        <f>O10+G22-J54</f>
        <v>71453.86</v>
      </c>
      <c r="L142" s="4">
        <f>L10+G23-J139</f>
        <v>32620.47</v>
      </c>
      <c r="M142" s="231">
        <v>0</v>
      </c>
      <c r="N142" s="4">
        <v>0</v>
      </c>
      <c r="O142" s="121"/>
      <c r="P142" s="4">
        <f>SUM(G142:O142)</f>
        <v>228852.99000000002</v>
      </c>
      <c r="Q142" s="1"/>
      <c r="R142" s="80">
        <f>P5+L16-L29</f>
        <v>228852.99000000395</v>
      </c>
      <c r="S142" s="37"/>
    </row>
    <row r="143" spans="1:19" ht="24.75" customHeight="1" thickBot="1">
      <c r="A143" s="122"/>
      <c r="B143" s="323" t="s">
        <v>233</v>
      </c>
      <c r="C143" s="323"/>
      <c r="D143" s="323"/>
      <c r="E143" s="324"/>
      <c r="F143" s="325"/>
      <c r="G143" s="325"/>
      <c r="H143" s="325"/>
      <c r="I143" s="325"/>
      <c r="J143" s="325"/>
      <c r="K143" s="325"/>
      <c r="L143" s="325"/>
      <c r="M143" s="325"/>
      <c r="N143" s="484"/>
      <c r="O143" s="485"/>
      <c r="P143" s="123">
        <f>P142</f>
        <v>228852.99000000002</v>
      </c>
      <c r="Q143" s="1"/>
      <c r="R143" s="37">
        <f>P5+L16-L29</f>
        <v>228852.99000000395</v>
      </c>
      <c r="S143" s="37"/>
    </row>
    <row r="144" spans="1:19" ht="15">
      <c r="A144" s="1"/>
      <c r="B144" s="124"/>
      <c r="C144" s="124"/>
      <c r="D144" s="124"/>
      <c r="E144" s="124"/>
      <c r="F144" s="125"/>
      <c r="G144" s="125"/>
      <c r="H144" s="125"/>
      <c r="I144" s="125"/>
      <c r="J144" s="125"/>
      <c r="K144" s="126"/>
      <c r="L144" s="125"/>
      <c r="M144" s="125"/>
      <c r="N144" s="125"/>
      <c r="O144" s="127"/>
      <c r="P144" s="128"/>
      <c r="Q144" s="1"/>
      <c r="R144" s="37"/>
      <c r="S144" s="1"/>
    </row>
    <row r="145" spans="1:19" ht="15">
      <c r="A145" s="1"/>
      <c r="B145" s="486" t="s">
        <v>204</v>
      </c>
      <c r="C145" s="486"/>
      <c r="D145" s="486"/>
      <c r="E145" s="486"/>
      <c r="F145" s="486"/>
      <c r="G145" s="486"/>
      <c r="H145" s="486"/>
      <c r="I145" s="486"/>
      <c r="J145" s="486"/>
      <c r="K145" s="486"/>
      <c r="L145" s="486"/>
      <c r="M145" s="486"/>
      <c r="N145" s="486"/>
      <c r="O145" s="487" t="s">
        <v>205</v>
      </c>
      <c r="P145" s="487"/>
      <c r="Q145" s="1"/>
      <c r="R145" s="80"/>
      <c r="S145" s="37"/>
    </row>
    <row r="146" spans="1:19" ht="15">
      <c r="A146" s="1"/>
      <c r="B146" s="486" t="s">
        <v>206</v>
      </c>
      <c r="C146" s="486"/>
      <c r="D146" s="486"/>
      <c r="E146" s="486"/>
      <c r="F146" s="486"/>
      <c r="G146" s="486"/>
      <c r="H146" s="486"/>
      <c r="I146" s="486"/>
      <c r="J146" s="486"/>
      <c r="K146" s="486"/>
      <c r="L146" s="486"/>
      <c r="M146" s="486"/>
      <c r="N146" s="486"/>
      <c r="O146" s="486" t="s">
        <v>207</v>
      </c>
      <c r="P146" s="486"/>
      <c r="Q146" s="1"/>
      <c r="R146" s="1"/>
      <c r="S146" s="1"/>
    </row>
    <row r="147" spans="1:19" ht="15">
      <c r="A147" s="1"/>
      <c r="B147" s="244"/>
      <c r="C147" s="244"/>
      <c r="D147" s="244"/>
      <c r="E147" s="244"/>
      <c r="F147" s="244"/>
      <c r="G147" s="244"/>
      <c r="H147" s="244"/>
      <c r="I147" s="244"/>
      <c r="J147" s="130"/>
      <c r="K147" s="131"/>
      <c r="L147" s="130"/>
      <c r="M147" s="244"/>
      <c r="N147" s="244"/>
      <c r="O147" s="244"/>
      <c r="P147" s="130"/>
      <c r="Q147" s="1"/>
      <c r="R147" s="37"/>
      <c r="S147" s="1"/>
    </row>
    <row r="149" spans="1:19" ht="15">
      <c r="A149" s="1"/>
      <c r="B149" s="1"/>
      <c r="C149" s="1"/>
      <c r="D149" s="1"/>
      <c r="E149" s="1"/>
      <c r="F149" s="1"/>
      <c r="G149" s="1"/>
      <c r="H149" s="1"/>
      <c r="I149" s="132"/>
      <c r="J149" s="1"/>
      <c r="K149" s="1"/>
      <c r="L149" s="1"/>
      <c r="M149" s="1"/>
      <c r="N149" s="1"/>
      <c r="O149" s="1"/>
      <c r="P149" s="1"/>
      <c r="Q149" s="1"/>
      <c r="R149" s="37"/>
      <c r="S149" s="1"/>
    </row>
    <row r="150" spans="1:19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37"/>
      <c r="S150" s="1"/>
    </row>
    <row r="151" spans="1:19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7"/>
      <c r="O151" s="1"/>
      <c r="P151" s="1"/>
      <c r="Q151" s="1"/>
      <c r="R151" s="1"/>
      <c r="S151" s="1"/>
    </row>
    <row r="152" spans="12:16" ht="15">
      <c r="L152" s="1"/>
      <c r="M152" s="1"/>
      <c r="N152" s="37"/>
      <c r="O152" s="1"/>
      <c r="P152" s="37"/>
    </row>
    <row r="153" spans="12:16" ht="15">
      <c r="L153" s="1"/>
      <c r="M153" s="1"/>
      <c r="N153" s="133"/>
      <c r="O153" s="1"/>
      <c r="P153" s="37"/>
    </row>
    <row r="154" spans="12:16" ht="15">
      <c r="L154" s="37"/>
      <c r="M154" s="1"/>
      <c r="N154" s="1"/>
      <c r="O154" s="1"/>
      <c r="P154" s="1"/>
    </row>
    <row r="155" spans="12:16" ht="15">
      <c r="L155" s="37"/>
      <c r="M155" s="37"/>
      <c r="N155" s="1"/>
      <c r="O155" s="1"/>
      <c r="P155" s="1"/>
    </row>
  </sheetData>
  <sheetProtection/>
  <mergeCells count="201">
    <mergeCell ref="B1:P1"/>
    <mergeCell ref="B2:P2"/>
    <mergeCell ref="B3:P3"/>
    <mergeCell ref="B4:P4"/>
    <mergeCell ref="B5:E5"/>
    <mergeCell ref="F5:O5"/>
    <mergeCell ref="B9:E9"/>
    <mergeCell ref="F9:G9"/>
    <mergeCell ref="I9:J9"/>
    <mergeCell ref="B10:E10"/>
    <mergeCell ref="F10:G10"/>
    <mergeCell ref="I10:J10"/>
    <mergeCell ref="B6:E6"/>
    <mergeCell ref="F6:O6"/>
    <mergeCell ref="B7:E7"/>
    <mergeCell ref="F7:P7"/>
    <mergeCell ref="B8:E8"/>
    <mergeCell ref="F8:G8"/>
    <mergeCell ref="I8:J8"/>
    <mergeCell ref="P12:P13"/>
    <mergeCell ref="B14:D14"/>
    <mergeCell ref="G14:J14"/>
    <mergeCell ref="A15:A16"/>
    <mergeCell ref="B15:D16"/>
    <mergeCell ref="G15:J15"/>
    <mergeCell ref="G16:J16"/>
    <mergeCell ref="B11:E11"/>
    <mergeCell ref="F11:P11"/>
    <mergeCell ref="A12:A13"/>
    <mergeCell ref="B12:E13"/>
    <mergeCell ref="F12:F13"/>
    <mergeCell ref="G12:K13"/>
    <mergeCell ref="L12:L13"/>
    <mergeCell ref="M12:M13"/>
    <mergeCell ref="N12:N13"/>
    <mergeCell ref="O12:O13"/>
    <mergeCell ref="B20:D20"/>
    <mergeCell ref="G20:J20"/>
    <mergeCell ref="B21:D21"/>
    <mergeCell ref="G21:J21"/>
    <mergeCell ref="B22:D22"/>
    <mergeCell ref="G22:J22"/>
    <mergeCell ref="B17:D17"/>
    <mergeCell ref="G17:J17"/>
    <mergeCell ref="B18:D18"/>
    <mergeCell ref="G18:J18"/>
    <mergeCell ref="B19:D19"/>
    <mergeCell ref="G19:J19"/>
    <mergeCell ref="P26:P27"/>
    <mergeCell ref="B28:D28"/>
    <mergeCell ref="B29:D29"/>
    <mergeCell ref="B23:D23"/>
    <mergeCell ref="G23:J23"/>
    <mergeCell ref="A24:A25"/>
    <mergeCell ref="B24:P25"/>
    <mergeCell ref="A26:A27"/>
    <mergeCell ref="B26:D27"/>
    <mergeCell ref="E26:E27"/>
    <mergeCell ref="F26:F27"/>
    <mergeCell ref="G26:K26"/>
    <mergeCell ref="L26:L27"/>
    <mergeCell ref="B30:D30"/>
    <mergeCell ref="B31:D31"/>
    <mergeCell ref="B32:D32"/>
    <mergeCell ref="B33:D33"/>
    <mergeCell ref="B34:D34"/>
    <mergeCell ref="B35:D35"/>
    <mergeCell ref="M26:M27"/>
    <mergeCell ref="N26:N27"/>
    <mergeCell ref="O26:O27"/>
    <mergeCell ref="B42:D42"/>
    <mergeCell ref="B43:D43"/>
    <mergeCell ref="B44:D44"/>
    <mergeCell ref="B45:D45"/>
    <mergeCell ref="B46:D46"/>
    <mergeCell ref="B48:D48"/>
    <mergeCell ref="B36:D36"/>
    <mergeCell ref="B37:D37"/>
    <mergeCell ref="B38:D38"/>
    <mergeCell ref="B39:D39"/>
    <mergeCell ref="B40:D40"/>
    <mergeCell ref="B41:D41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79:D79"/>
    <mergeCell ref="B80:D80"/>
    <mergeCell ref="B81:D81"/>
    <mergeCell ref="B82:D82"/>
    <mergeCell ref="B73:D73"/>
    <mergeCell ref="B74:D74"/>
    <mergeCell ref="B75:D75"/>
    <mergeCell ref="B76:D76"/>
    <mergeCell ref="B77:D77"/>
    <mergeCell ref="B78:D78"/>
    <mergeCell ref="P83:P84"/>
    <mergeCell ref="B85:D85"/>
    <mergeCell ref="B86:D86"/>
    <mergeCell ref="A83:A84"/>
    <mergeCell ref="B83:D84"/>
    <mergeCell ref="E83:E84"/>
    <mergeCell ref="F83:F84"/>
    <mergeCell ref="G83:K83"/>
    <mergeCell ref="L83:L84"/>
    <mergeCell ref="O83:O84"/>
    <mergeCell ref="N83:N84"/>
    <mergeCell ref="M83:M84"/>
    <mergeCell ref="B87:D87"/>
    <mergeCell ref="B88:D88"/>
    <mergeCell ref="B89:D89"/>
    <mergeCell ref="B90:D90"/>
    <mergeCell ref="B91:D91"/>
    <mergeCell ref="B92:D92"/>
    <mergeCell ref="B99:D99"/>
    <mergeCell ref="B100:D100"/>
    <mergeCell ref="B101:D101"/>
    <mergeCell ref="B102:D102"/>
    <mergeCell ref="B103:D103"/>
    <mergeCell ref="B104:D104"/>
    <mergeCell ref="B93:D93"/>
    <mergeCell ref="B94:D94"/>
    <mergeCell ref="B95:D95"/>
    <mergeCell ref="B96:D96"/>
    <mergeCell ref="B97:D97"/>
    <mergeCell ref="B98:D98"/>
    <mergeCell ref="B111:D111"/>
    <mergeCell ref="B112:D112"/>
    <mergeCell ref="B113:D113"/>
    <mergeCell ref="B114:D114"/>
    <mergeCell ref="B115:D115"/>
    <mergeCell ref="B116:D116"/>
    <mergeCell ref="B105:D105"/>
    <mergeCell ref="B106:D106"/>
    <mergeCell ref="B107:D107"/>
    <mergeCell ref="B108:D108"/>
    <mergeCell ref="B109:D109"/>
    <mergeCell ref="B110:D110"/>
    <mergeCell ref="O121:O122"/>
    <mergeCell ref="P121:P122"/>
    <mergeCell ref="B123:D123"/>
    <mergeCell ref="B124:D124"/>
    <mergeCell ref="B125:D125"/>
    <mergeCell ref="B126:D126"/>
    <mergeCell ref="B117:D117"/>
    <mergeCell ref="B118:D118"/>
    <mergeCell ref="B119:P120"/>
    <mergeCell ref="B121:D122"/>
    <mergeCell ref="E121:E122"/>
    <mergeCell ref="F121:F122"/>
    <mergeCell ref="G121:K121"/>
    <mergeCell ref="L121:L122"/>
    <mergeCell ref="M121:M122"/>
    <mergeCell ref="N121:N122"/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  <mergeCell ref="B143:E143"/>
    <mergeCell ref="F143:O143"/>
    <mergeCell ref="B145:E145"/>
    <mergeCell ref="F145:N145"/>
    <mergeCell ref="O145:P145"/>
    <mergeCell ref="B146:E146"/>
    <mergeCell ref="F146:N146"/>
    <mergeCell ref="O146:P146"/>
    <mergeCell ref="B139:D139"/>
    <mergeCell ref="B140:E140"/>
    <mergeCell ref="I140:J140"/>
    <mergeCell ref="B141:E141"/>
    <mergeCell ref="I141:J141"/>
    <mergeCell ref="B142:E142"/>
    <mergeCell ref="I142:J142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55"/>
  <sheetViews>
    <sheetView zoomScalePageLayoutView="0" workbookViewId="0" topLeftCell="A21">
      <selection activeCell="M64" sqref="M64"/>
    </sheetView>
  </sheetViews>
  <sheetFormatPr defaultColWidth="9.140625" defaultRowHeight="15"/>
  <cols>
    <col min="1" max="1" width="3.28125" style="2" customWidth="1"/>
    <col min="2" max="3" width="9.140625" style="2" customWidth="1"/>
    <col min="4" max="4" width="5.140625" style="2" customWidth="1"/>
    <col min="5" max="5" width="13.00390625" style="2" customWidth="1"/>
    <col min="6" max="6" width="14.140625" style="2" customWidth="1"/>
    <col min="7" max="7" width="12.7109375" style="2" customWidth="1"/>
    <col min="8" max="8" width="11.00390625" style="2" customWidth="1"/>
    <col min="9" max="9" width="7.00390625" style="2" customWidth="1"/>
    <col min="10" max="10" width="11.140625" style="2" customWidth="1"/>
    <col min="11" max="11" width="12.7109375" style="2" customWidth="1"/>
    <col min="12" max="12" width="13.8515625" style="2" customWidth="1"/>
    <col min="13" max="13" width="13.7109375" style="2" customWidth="1"/>
    <col min="14" max="14" width="13.421875" style="2" customWidth="1"/>
    <col min="15" max="15" width="8.421875" style="2" customWidth="1"/>
    <col min="16" max="16" width="10.421875" style="2" customWidth="1"/>
    <col min="17" max="17" width="9.140625" style="2" customWidth="1"/>
    <col min="18" max="18" width="14.28125" style="2" customWidth="1"/>
    <col min="19" max="19" width="11.140625" style="2" bestFit="1" customWidth="1"/>
    <col min="20" max="16384" width="9.140625" style="2" customWidth="1"/>
  </cols>
  <sheetData>
    <row r="1" spans="1:16" ht="15">
      <c r="A1" s="1"/>
      <c r="B1" s="318" t="s">
        <v>0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</row>
    <row r="2" spans="1:16" ht="15">
      <c r="A2" s="1"/>
      <c r="B2" s="319" t="s">
        <v>235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</row>
    <row r="3" spans="1:16" ht="15.75" thickBot="1">
      <c r="A3" s="1"/>
      <c r="B3" s="320" t="s">
        <v>1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</row>
    <row r="4" spans="1:16" ht="15.75" thickBot="1">
      <c r="A4" s="1"/>
      <c r="B4" s="321" t="s">
        <v>2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</row>
    <row r="5" spans="1:16" ht="27.75" customHeight="1" thickBot="1">
      <c r="A5" s="3"/>
      <c r="B5" s="322" t="s">
        <v>209</v>
      </c>
      <c r="C5" s="323"/>
      <c r="D5" s="323"/>
      <c r="E5" s="324"/>
      <c r="F5" s="325"/>
      <c r="G5" s="325"/>
      <c r="H5" s="325"/>
      <c r="I5" s="325"/>
      <c r="J5" s="325"/>
      <c r="K5" s="325"/>
      <c r="L5" s="325"/>
      <c r="M5" s="325"/>
      <c r="N5" s="325"/>
      <c r="O5" s="326"/>
      <c r="P5" s="4">
        <v>9380.24</v>
      </c>
    </row>
    <row r="6" spans="1:16" ht="26.25" customHeight="1" thickBot="1">
      <c r="A6" s="3"/>
      <c r="B6" s="322" t="s">
        <v>236</v>
      </c>
      <c r="C6" s="323"/>
      <c r="D6" s="323"/>
      <c r="E6" s="324"/>
      <c r="F6" s="325"/>
      <c r="G6" s="325"/>
      <c r="H6" s="325"/>
      <c r="I6" s="325"/>
      <c r="J6" s="325"/>
      <c r="K6" s="325"/>
      <c r="L6" s="325"/>
      <c r="M6" s="325"/>
      <c r="N6" s="325"/>
      <c r="O6" s="326"/>
      <c r="P6" s="246">
        <f>P10</f>
        <v>228852.99000000005</v>
      </c>
    </row>
    <row r="7" spans="1:16" ht="15.75" thickBot="1">
      <c r="A7" s="3"/>
      <c r="B7" s="332"/>
      <c r="C7" s="333"/>
      <c r="D7" s="333"/>
      <c r="E7" s="334"/>
      <c r="F7" s="335"/>
      <c r="G7" s="335"/>
      <c r="H7" s="335"/>
      <c r="I7" s="335"/>
      <c r="J7" s="335"/>
      <c r="K7" s="335"/>
      <c r="L7" s="335"/>
      <c r="M7" s="335"/>
      <c r="N7" s="336"/>
      <c r="O7" s="336"/>
      <c r="P7" s="337"/>
    </row>
    <row r="8" spans="1:16" ht="75.75" thickBot="1">
      <c r="A8" s="6"/>
      <c r="B8" s="322" t="s">
        <v>3</v>
      </c>
      <c r="C8" s="323"/>
      <c r="D8" s="323"/>
      <c r="E8" s="324"/>
      <c r="F8" s="338" t="s">
        <v>4</v>
      </c>
      <c r="G8" s="339"/>
      <c r="H8" s="7" t="s">
        <v>5</v>
      </c>
      <c r="I8" s="338" t="s">
        <v>6</v>
      </c>
      <c r="J8" s="339"/>
      <c r="K8" s="8" t="s">
        <v>7</v>
      </c>
      <c r="L8" s="7" t="s">
        <v>8</v>
      </c>
      <c r="M8" s="248" t="s">
        <v>9</v>
      </c>
      <c r="N8" s="257" t="s">
        <v>10</v>
      </c>
      <c r="O8" s="11" t="s">
        <v>11</v>
      </c>
      <c r="P8" s="12"/>
    </row>
    <row r="9" spans="1:16" ht="15.75" thickBot="1">
      <c r="A9" s="3"/>
      <c r="B9" s="327" t="s">
        <v>12</v>
      </c>
      <c r="C9" s="328"/>
      <c r="D9" s="328"/>
      <c r="E9" s="329"/>
      <c r="F9" s="330">
        <v>0</v>
      </c>
      <c r="G9" s="331"/>
      <c r="H9" s="4">
        <v>0</v>
      </c>
      <c r="I9" s="330">
        <v>0</v>
      </c>
      <c r="J9" s="331"/>
      <c r="K9" s="13">
        <v>0</v>
      </c>
      <c r="L9" s="4">
        <v>0</v>
      </c>
      <c r="M9" s="245">
        <v>0</v>
      </c>
      <c r="N9" s="4">
        <v>0</v>
      </c>
      <c r="O9" s="15">
        <v>0</v>
      </c>
      <c r="P9" s="246">
        <v>0</v>
      </c>
    </row>
    <row r="10" spans="1:16" ht="30.75" customHeight="1" thickBot="1">
      <c r="A10" s="3"/>
      <c r="B10" s="327" t="s">
        <v>13</v>
      </c>
      <c r="C10" s="328"/>
      <c r="D10" s="328"/>
      <c r="E10" s="329"/>
      <c r="F10" s="330">
        <v>-400702.12</v>
      </c>
      <c r="G10" s="331"/>
      <c r="H10" s="4">
        <v>525480.78</v>
      </c>
      <c r="I10" s="330">
        <v>0</v>
      </c>
      <c r="J10" s="331"/>
      <c r="K10" s="13">
        <v>0</v>
      </c>
      <c r="L10" s="4">
        <v>32620.47</v>
      </c>
      <c r="M10" s="245">
        <v>0</v>
      </c>
      <c r="N10" s="4">
        <v>0</v>
      </c>
      <c r="O10" s="4">
        <v>71453.86</v>
      </c>
      <c r="P10" s="246">
        <f>SUM(F10:O10)</f>
        <v>228852.99000000005</v>
      </c>
    </row>
    <row r="11" spans="1:16" ht="15.75" thickBot="1">
      <c r="A11" s="253"/>
      <c r="B11" s="360"/>
      <c r="C11" s="361"/>
      <c r="D11" s="361"/>
      <c r="E11" s="361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3"/>
    </row>
    <row r="12" spans="1:16" ht="15">
      <c r="A12" s="346"/>
      <c r="B12" s="364" t="s">
        <v>14</v>
      </c>
      <c r="C12" s="365"/>
      <c r="D12" s="365"/>
      <c r="E12" s="366"/>
      <c r="F12" s="340"/>
      <c r="G12" s="370" t="s">
        <v>15</v>
      </c>
      <c r="H12" s="362"/>
      <c r="I12" s="362"/>
      <c r="J12" s="362"/>
      <c r="K12" s="363"/>
      <c r="L12" s="340" t="s">
        <v>16</v>
      </c>
      <c r="M12" s="340" t="s">
        <v>17</v>
      </c>
      <c r="N12" s="340" t="s">
        <v>18</v>
      </c>
      <c r="O12" s="340" t="s">
        <v>19</v>
      </c>
      <c r="P12" s="340" t="s">
        <v>20</v>
      </c>
    </row>
    <row r="13" spans="1:16" ht="29.25" customHeight="1" thickBot="1">
      <c r="A13" s="347"/>
      <c r="B13" s="367"/>
      <c r="C13" s="368"/>
      <c r="D13" s="368"/>
      <c r="E13" s="369"/>
      <c r="F13" s="341"/>
      <c r="G13" s="371"/>
      <c r="H13" s="372"/>
      <c r="I13" s="372"/>
      <c r="J13" s="372"/>
      <c r="K13" s="373"/>
      <c r="L13" s="341"/>
      <c r="M13" s="341"/>
      <c r="N13" s="341"/>
      <c r="O13" s="341"/>
      <c r="P13" s="341"/>
    </row>
    <row r="14" spans="1:16" ht="15.75" thickBot="1">
      <c r="A14" s="3"/>
      <c r="B14" s="342" t="s">
        <v>21</v>
      </c>
      <c r="C14" s="343"/>
      <c r="D14" s="344"/>
      <c r="E14" s="17" t="s">
        <v>22</v>
      </c>
      <c r="F14" s="252">
        <v>3</v>
      </c>
      <c r="G14" s="345">
        <v>4</v>
      </c>
      <c r="H14" s="335"/>
      <c r="I14" s="335"/>
      <c r="J14" s="337"/>
      <c r="K14" s="19">
        <v>5</v>
      </c>
      <c r="L14" s="251">
        <v>6</v>
      </c>
      <c r="M14" s="7">
        <v>7</v>
      </c>
      <c r="N14" s="251">
        <v>8</v>
      </c>
      <c r="O14" s="251">
        <v>9</v>
      </c>
      <c r="P14" s="7">
        <v>10</v>
      </c>
    </row>
    <row r="15" spans="1:16" ht="29.25" thickBot="1">
      <c r="A15" s="346"/>
      <c r="B15" s="348" t="s">
        <v>23</v>
      </c>
      <c r="C15" s="349"/>
      <c r="D15" s="350"/>
      <c r="E15" s="21" t="s">
        <v>24</v>
      </c>
      <c r="F15" s="21" t="s">
        <v>25</v>
      </c>
      <c r="G15" s="354" t="s">
        <v>26</v>
      </c>
      <c r="H15" s="355"/>
      <c r="I15" s="355"/>
      <c r="J15" s="356"/>
      <c r="K15" s="22" t="s">
        <v>27</v>
      </c>
      <c r="L15" s="23" t="s">
        <v>26</v>
      </c>
      <c r="M15" s="24" t="s">
        <v>28</v>
      </c>
      <c r="N15" s="24" t="s">
        <v>26</v>
      </c>
      <c r="O15" s="24" t="s">
        <v>26</v>
      </c>
      <c r="P15" s="25" t="s">
        <v>26</v>
      </c>
    </row>
    <row r="16" spans="1:16" ht="37.5" customHeight="1" thickBot="1">
      <c r="A16" s="347"/>
      <c r="B16" s="351"/>
      <c r="C16" s="352"/>
      <c r="D16" s="353"/>
      <c r="E16" s="26">
        <f>SUM(E17:E23)</f>
        <v>1374355</v>
      </c>
      <c r="F16" s="27">
        <f>SUM(F17:F23)</f>
        <v>13884976</v>
      </c>
      <c r="G16" s="357">
        <f>G17+G18+G19+G20+G21+G22+G23</f>
        <v>1551940.67</v>
      </c>
      <c r="H16" s="358"/>
      <c r="I16" s="358"/>
      <c r="J16" s="359"/>
      <c r="K16" s="255">
        <f>SUM(K17:K23)</f>
        <v>1551940.67</v>
      </c>
      <c r="L16" s="255">
        <f>SUM(L17:L23)</f>
        <v>13626303.84</v>
      </c>
      <c r="M16" s="255">
        <f>SUM(M17:M23)</f>
        <v>-177585.66999999995</v>
      </c>
      <c r="N16" s="255">
        <f>SUM(N17:N23)</f>
        <v>258672.1600000012</v>
      </c>
      <c r="O16" s="29">
        <v>0</v>
      </c>
      <c r="P16" s="29">
        <v>0</v>
      </c>
    </row>
    <row r="17" spans="1:18" ht="63.75" customHeight="1" thickBot="1">
      <c r="A17" s="30" t="s">
        <v>29</v>
      </c>
      <c r="B17" s="383" t="s">
        <v>30</v>
      </c>
      <c r="C17" s="384"/>
      <c r="D17" s="385"/>
      <c r="E17" s="154">
        <v>968464</v>
      </c>
      <c r="F17" s="31">
        <f>8798307+E17</f>
        <v>9766771</v>
      </c>
      <c r="G17" s="377">
        <v>867734.99</v>
      </c>
      <c r="H17" s="378"/>
      <c r="I17" s="378"/>
      <c r="J17" s="379"/>
      <c r="K17" s="256">
        <f>G17</f>
        <v>867734.99</v>
      </c>
      <c r="L17" s="33">
        <f>7538402.81+K17</f>
        <v>8406137.799999999</v>
      </c>
      <c r="M17" s="34">
        <f>E17-K17</f>
        <v>100729.01000000001</v>
      </c>
      <c r="N17" s="35">
        <f>F17-L17</f>
        <v>1360633.2000000011</v>
      </c>
      <c r="O17" s="36">
        <v>0</v>
      </c>
      <c r="P17" s="36">
        <v>0</v>
      </c>
      <c r="Q17" s="1"/>
      <c r="R17" s="37">
        <v>365352.1499999948</v>
      </c>
    </row>
    <row r="18" spans="1:18" ht="33.75" customHeight="1" thickBot="1">
      <c r="A18" s="38" t="s">
        <v>31</v>
      </c>
      <c r="B18" s="386" t="s">
        <v>32</v>
      </c>
      <c r="C18" s="387"/>
      <c r="D18" s="388"/>
      <c r="E18" s="148">
        <v>399691</v>
      </c>
      <c r="F18" s="31">
        <f>3656114+E18</f>
        <v>4055805</v>
      </c>
      <c r="G18" s="377">
        <v>499246.1</v>
      </c>
      <c r="H18" s="378"/>
      <c r="I18" s="378"/>
      <c r="J18" s="379"/>
      <c r="K18" s="256">
        <f>G18</f>
        <v>499246.1</v>
      </c>
      <c r="L18" s="33">
        <f>3781881.4+K18</f>
        <v>4281127.5</v>
      </c>
      <c r="M18" s="34">
        <f>E18-K18</f>
        <v>-99555.09999999998</v>
      </c>
      <c r="N18" s="35">
        <f>F18-L18</f>
        <v>-225322.5</v>
      </c>
      <c r="O18" s="36">
        <v>0</v>
      </c>
      <c r="P18" s="36">
        <v>0</v>
      </c>
      <c r="Q18" s="1"/>
      <c r="R18" s="1"/>
    </row>
    <row r="19" spans="1:18" ht="48.75" customHeight="1" thickBot="1">
      <c r="A19" s="38" t="s">
        <v>33</v>
      </c>
      <c r="B19" s="389" t="s">
        <v>34</v>
      </c>
      <c r="C19" s="390"/>
      <c r="D19" s="391"/>
      <c r="E19" s="39"/>
      <c r="F19" s="31">
        <f>0+E19</f>
        <v>0</v>
      </c>
      <c r="G19" s="377"/>
      <c r="H19" s="378"/>
      <c r="I19" s="378"/>
      <c r="J19" s="379"/>
      <c r="K19" s="256">
        <f>G19</f>
        <v>0</v>
      </c>
      <c r="L19" s="33">
        <f>0+K19</f>
        <v>0</v>
      </c>
      <c r="M19" s="34">
        <f aca="true" t="shared" si="0" ref="M19:N23">E19-K19</f>
        <v>0</v>
      </c>
      <c r="N19" s="35">
        <f t="shared" si="0"/>
        <v>0</v>
      </c>
      <c r="O19" s="36">
        <v>0</v>
      </c>
      <c r="P19" s="40">
        <v>0</v>
      </c>
      <c r="Q19" s="1"/>
      <c r="R19" s="1"/>
    </row>
    <row r="20" spans="1:18" ht="54" customHeight="1" thickBot="1">
      <c r="A20" s="41" t="s">
        <v>35</v>
      </c>
      <c r="B20" s="374" t="s">
        <v>36</v>
      </c>
      <c r="C20" s="375"/>
      <c r="D20" s="376"/>
      <c r="E20" s="42"/>
      <c r="F20" s="31">
        <f>0+E20</f>
        <v>0</v>
      </c>
      <c r="G20" s="377"/>
      <c r="H20" s="378"/>
      <c r="I20" s="378"/>
      <c r="J20" s="379"/>
      <c r="K20" s="256">
        <f>G20</f>
        <v>0</v>
      </c>
      <c r="L20" s="33">
        <f>0+K20</f>
        <v>0</v>
      </c>
      <c r="M20" s="34">
        <f t="shared" si="0"/>
        <v>0</v>
      </c>
      <c r="N20" s="35">
        <f t="shared" si="0"/>
        <v>0</v>
      </c>
      <c r="O20" s="36">
        <v>0</v>
      </c>
      <c r="P20" s="36">
        <v>0</v>
      </c>
      <c r="Q20" s="37"/>
      <c r="R20" s="37"/>
    </row>
    <row r="21" spans="1:18" ht="27" customHeight="1" thickBot="1">
      <c r="A21" s="43" t="s">
        <v>37</v>
      </c>
      <c r="B21" s="380" t="s">
        <v>38</v>
      </c>
      <c r="C21" s="381"/>
      <c r="D21" s="382"/>
      <c r="E21" s="44"/>
      <c r="F21" s="31">
        <f>0+E21</f>
        <v>0</v>
      </c>
      <c r="G21" s="377"/>
      <c r="H21" s="378"/>
      <c r="I21" s="378"/>
      <c r="J21" s="379"/>
      <c r="K21" s="256">
        <f>G21</f>
        <v>0</v>
      </c>
      <c r="L21" s="33">
        <f>0+K21</f>
        <v>0</v>
      </c>
      <c r="M21" s="34">
        <f t="shared" si="0"/>
        <v>0</v>
      </c>
      <c r="N21" s="35">
        <f t="shared" si="0"/>
        <v>0</v>
      </c>
      <c r="O21" s="36">
        <v>0</v>
      </c>
      <c r="P21" s="36">
        <v>0</v>
      </c>
      <c r="Q21" s="37"/>
      <c r="R21" s="1"/>
    </row>
    <row r="22" spans="1:18" ht="36" customHeight="1" thickBot="1">
      <c r="A22" s="43" t="s">
        <v>39</v>
      </c>
      <c r="B22" s="383" t="s">
        <v>40</v>
      </c>
      <c r="C22" s="384"/>
      <c r="D22" s="385"/>
      <c r="E22" s="149">
        <v>6200</v>
      </c>
      <c r="F22" s="31">
        <f>56200+E22</f>
        <v>62400</v>
      </c>
      <c r="G22" s="377">
        <v>1697.71</v>
      </c>
      <c r="H22" s="378"/>
      <c r="I22" s="378"/>
      <c r="J22" s="379"/>
      <c r="K22" s="256">
        <f>G22</f>
        <v>1697.71</v>
      </c>
      <c r="L22" s="33">
        <f>75307.42+K22</f>
        <v>77005.13</v>
      </c>
      <c r="M22" s="34">
        <f>E22-K22</f>
        <v>4502.29</v>
      </c>
      <c r="N22" s="35">
        <f t="shared" si="0"/>
        <v>-14605.130000000005</v>
      </c>
      <c r="O22" s="36">
        <v>0</v>
      </c>
      <c r="P22" s="36">
        <v>0</v>
      </c>
      <c r="Q22" s="1"/>
      <c r="R22" s="1"/>
    </row>
    <row r="23" spans="1:18" ht="33.75" customHeight="1" thickBot="1">
      <c r="A23" s="43" t="s">
        <v>41</v>
      </c>
      <c r="B23" s="392" t="s">
        <v>42</v>
      </c>
      <c r="C23" s="393"/>
      <c r="D23" s="394"/>
      <c r="E23" s="46"/>
      <c r="F23" s="31"/>
      <c r="G23" s="377">
        <v>183261.87</v>
      </c>
      <c r="H23" s="378"/>
      <c r="I23" s="378"/>
      <c r="J23" s="379"/>
      <c r="K23" s="256">
        <f>G23</f>
        <v>183261.87</v>
      </c>
      <c r="L23" s="33">
        <f>678771.54+K23</f>
        <v>862033.41</v>
      </c>
      <c r="M23" s="34">
        <f t="shared" si="0"/>
        <v>-183261.87</v>
      </c>
      <c r="N23" s="35">
        <f t="shared" si="0"/>
        <v>-862033.41</v>
      </c>
      <c r="O23" s="36">
        <v>0</v>
      </c>
      <c r="P23" s="36">
        <v>0</v>
      </c>
      <c r="Q23" s="1"/>
      <c r="R23" s="1"/>
    </row>
    <row r="24" spans="1:18" ht="15">
      <c r="A24" s="346"/>
      <c r="B24" s="395" t="s">
        <v>43</v>
      </c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7"/>
      <c r="Q24" s="1"/>
      <c r="R24" s="1"/>
    </row>
    <row r="25" spans="1:18" ht="15.75" thickBot="1">
      <c r="A25" s="347"/>
      <c r="B25" s="398"/>
      <c r="C25" s="399"/>
      <c r="D25" s="399"/>
      <c r="E25" s="399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400"/>
      <c r="Q25" s="1"/>
      <c r="R25" s="1"/>
    </row>
    <row r="26" spans="1:18" ht="15.75" thickBot="1">
      <c r="A26" s="346"/>
      <c r="B26" s="364" t="s">
        <v>14</v>
      </c>
      <c r="C26" s="365"/>
      <c r="D26" s="366"/>
      <c r="E26" s="401" t="s">
        <v>24</v>
      </c>
      <c r="F26" s="403" t="s">
        <v>25</v>
      </c>
      <c r="G26" s="338" t="s">
        <v>44</v>
      </c>
      <c r="H26" s="321"/>
      <c r="I26" s="321"/>
      <c r="J26" s="321"/>
      <c r="K26" s="339"/>
      <c r="L26" s="340" t="s">
        <v>16</v>
      </c>
      <c r="M26" s="340" t="s">
        <v>17</v>
      </c>
      <c r="N26" s="340" t="s">
        <v>18</v>
      </c>
      <c r="O26" s="340" t="s">
        <v>19</v>
      </c>
      <c r="P26" s="340" t="s">
        <v>20</v>
      </c>
      <c r="Q26" s="1"/>
      <c r="R26" s="1"/>
    </row>
    <row r="27" spans="1:18" ht="104.25" customHeight="1" thickBot="1">
      <c r="A27" s="347"/>
      <c r="B27" s="367"/>
      <c r="C27" s="368"/>
      <c r="D27" s="369"/>
      <c r="E27" s="402"/>
      <c r="F27" s="404"/>
      <c r="G27" s="247" t="s">
        <v>45</v>
      </c>
      <c r="H27" s="247" t="s">
        <v>46</v>
      </c>
      <c r="I27" s="247" t="s">
        <v>47</v>
      </c>
      <c r="J27" s="7" t="s">
        <v>48</v>
      </c>
      <c r="K27" s="8" t="s">
        <v>27</v>
      </c>
      <c r="L27" s="341"/>
      <c r="M27" s="341"/>
      <c r="N27" s="341"/>
      <c r="O27" s="341"/>
      <c r="P27" s="341"/>
      <c r="Q27" s="1"/>
      <c r="R27" s="37">
        <v>365352.1499999948</v>
      </c>
    </row>
    <row r="28" spans="1:18" ht="16.5" customHeight="1" thickBot="1">
      <c r="A28" s="3"/>
      <c r="B28" s="342">
        <v>1</v>
      </c>
      <c r="C28" s="343"/>
      <c r="D28" s="344"/>
      <c r="E28" s="17" t="s">
        <v>22</v>
      </c>
      <c r="F28" s="247">
        <v>3</v>
      </c>
      <c r="G28" s="247">
        <v>4</v>
      </c>
      <c r="H28" s="247">
        <v>5</v>
      </c>
      <c r="I28" s="7">
        <v>6</v>
      </c>
      <c r="J28" s="7">
        <v>7</v>
      </c>
      <c r="K28" s="48">
        <v>8</v>
      </c>
      <c r="L28" s="251">
        <v>9</v>
      </c>
      <c r="M28" s="7">
        <v>10</v>
      </c>
      <c r="N28" s="251">
        <v>11</v>
      </c>
      <c r="O28" s="7">
        <v>12</v>
      </c>
      <c r="P28" s="251">
        <v>13</v>
      </c>
      <c r="Q28" s="1"/>
      <c r="R28" s="1"/>
    </row>
    <row r="29" spans="1:18" ht="30.75" customHeight="1" thickBot="1">
      <c r="A29" s="3"/>
      <c r="B29" s="345" t="s">
        <v>23</v>
      </c>
      <c r="C29" s="335"/>
      <c r="D29" s="337"/>
      <c r="E29" s="49">
        <f aca="true" t="shared" si="1" ref="E29:N29">E30+E34+E38+E44+E51+E54+E64+E67+E71+E74+E78+E80+E86+E99+E130+E133+E136+E139</f>
        <v>1374355</v>
      </c>
      <c r="F29" s="49">
        <f t="shared" si="1"/>
        <v>13890480</v>
      </c>
      <c r="G29" s="49">
        <f>G30+G34+G38+G44+G51+G54+G64+G67+G71+G74+G78+G80+G86+G99+G130+G133+G136+G139</f>
        <v>590544.02</v>
      </c>
      <c r="H29" s="49">
        <f>H30+H34+H38+H44+H51+H54+H64+H67+H71+H74+H78+H80+H86+H99+H130+H133+H136+H139</f>
        <v>244860.89</v>
      </c>
      <c r="I29" s="49">
        <f t="shared" si="1"/>
        <v>0</v>
      </c>
      <c r="J29" s="49">
        <f>J30+J34+J38+J44+J51+J54+J64+J67+J71+J74+J78+J80+J86+J99+J130+J133+J136+J139</f>
        <v>26035.98</v>
      </c>
      <c r="K29" s="49">
        <f t="shared" si="1"/>
        <v>861440.89</v>
      </c>
      <c r="L29" s="49">
        <f t="shared" si="1"/>
        <v>12693381.72</v>
      </c>
      <c r="M29" s="49">
        <f t="shared" si="1"/>
        <v>512914.1099999999</v>
      </c>
      <c r="N29" s="49">
        <f t="shared" si="1"/>
        <v>1197098.2800000003</v>
      </c>
      <c r="O29" s="50">
        <v>0</v>
      </c>
      <c r="P29" s="50">
        <v>0</v>
      </c>
      <c r="Q29" s="1"/>
      <c r="R29" s="37">
        <f>3440426+E29</f>
        <v>4814781</v>
      </c>
    </row>
    <row r="30" spans="1:18" ht="19.5" customHeight="1" thickBot="1">
      <c r="A30" s="51" t="s">
        <v>21</v>
      </c>
      <c r="B30" s="417" t="s">
        <v>49</v>
      </c>
      <c r="C30" s="418"/>
      <c r="D30" s="419"/>
      <c r="E30" s="52">
        <f>SUM(E31:E32)</f>
        <v>814734</v>
      </c>
      <c r="F30" s="53">
        <f>F31+F32+F33</f>
        <v>7086332</v>
      </c>
      <c r="G30" s="54">
        <f>G31+G32+G33</f>
        <v>354261.81</v>
      </c>
      <c r="H30" s="54">
        <f>H31</f>
        <v>184800</v>
      </c>
      <c r="I30" s="54"/>
      <c r="J30" s="54"/>
      <c r="K30" s="53">
        <f>G30+H30</f>
        <v>539061.81</v>
      </c>
      <c r="L30" s="55">
        <f>L31+L32</f>
        <v>6356772.77</v>
      </c>
      <c r="M30" s="56">
        <f>E30-K30</f>
        <v>275672.18999999994</v>
      </c>
      <c r="N30" s="70">
        <f>F30-L30</f>
        <v>729559.2300000004</v>
      </c>
      <c r="O30" s="58">
        <v>0</v>
      </c>
      <c r="P30" s="59">
        <v>0</v>
      </c>
      <c r="Q30" s="37"/>
      <c r="R30" s="37"/>
    </row>
    <row r="31" spans="1:18" ht="21.75" customHeight="1" thickBot="1">
      <c r="A31" s="60" t="s">
        <v>50</v>
      </c>
      <c r="B31" s="411" t="s">
        <v>51</v>
      </c>
      <c r="C31" s="412"/>
      <c r="D31" s="413"/>
      <c r="E31" s="187">
        <v>332522</v>
      </c>
      <c r="F31" s="31">
        <f>3041692+E31</f>
        <v>3374214</v>
      </c>
      <c r="G31" s="62"/>
      <c r="H31" s="62">
        <v>184800</v>
      </c>
      <c r="I31" s="62"/>
      <c r="J31" s="62"/>
      <c r="K31" s="45">
        <f>H31</f>
        <v>184800</v>
      </c>
      <c r="L31" s="33">
        <f>2702038.51+K31</f>
        <v>2886838.51</v>
      </c>
      <c r="M31" s="34">
        <f>E31-K31</f>
        <v>147722</v>
      </c>
      <c r="N31" s="63">
        <f>F31-L31</f>
        <v>487375.4900000002</v>
      </c>
      <c r="O31" s="64">
        <v>0</v>
      </c>
      <c r="P31" s="65">
        <v>0</v>
      </c>
      <c r="Q31" s="37"/>
      <c r="R31" s="314" t="s">
        <v>251</v>
      </c>
    </row>
    <row r="32" spans="1:18" ht="15.75" thickBot="1">
      <c r="A32" s="60" t="s">
        <v>52</v>
      </c>
      <c r="B32" s="405" t="s">
        <v>53</v>
      </c>
      <c r="C32" s="406"/>
      <c r="D32" s="407"/>
      <c r="E32" s="187">
        <v>482212</v>
      </c>
      <c r="F32" s="31">
        <f>3229906+E32</f>
        <v>3712118</v>
      </c>
      <c r="G32" s="62">
        <v>354261.81</v>
      </c>
      <c r="H32" s="62"/>
      <c r="I32" s="62"/>
      <c r="J32" s="62"/>
      <c r="K32" s="33">
        <f>0+G32</f>
        <v>354261.81</v>
      </c>
      <c r="L32" s="33">
        <f>3115672.45+K32</f>
        <v>3469934.2600000002</v>
      </c>
      <c r="M32" s="34">
        <f>E32-K32</f>
        <v>127950.19</v>
      </c>
      <c r="N32" s="63">
        <f>F32-L32</f>
        <v>242183.73999999976</v>
      </c>
      <c r="O32" s="64">
        <v>0</v>
      </c>
      <c r="P32" s="65">
        <v>0</v>
      </c>
      <c r="Q32" s="37"/>
      <c r="R32" s="314">
        <f>АПРЕЛЬ!J54+ИЮЛЬ!J54+АВГУСТ!J54+СЕНТЯБРЬ!J54</f>
        <v>61136.630000000005</v>
      </c>
    </row>
    <row r="33" spans="1:18" ht="15.75" thickBot="1">
      <c r="A33" s="60" t="s">
        <v>54</v>
      </c>
      <c r="B33" s="405" t="s">
        <v>55</v>
      </c>
      <c r="C33" s="406"/>
      <c r="D33" s="407"/>
      <c r="E33" s="66"/>
      <c r="F33" s="33"/>
      <c r="G33" s="62"/>
      <c r="H33" s="62"/>
      <c r="I33" s="62"/>
      <c r="J33" s="62"/>
      <c r="K33" s="45"/>
      <c r="L33" s="33"/>
      <c r="M33" s="67"/>
      <c r="N33" s="68"/>
      <c r="O33" s="64"/>
      <c r="P33" s="65"/>
      <c r="Q33" s="37"/>
      <c r="R33" s="37"/>
    </row>
    <row r="34" spans="1:18" ht="32.25" customHeight="1" thickBot="1">
      <c r="A34" s="69" t="s">
        <v>22</v>
      </c>
      <c r="B34" s="408" t="s">
        <v>56</v>
      </c>
      <c r="C34" s="409"/>
      <c r="D34" s="410"/>
      <c r="E34" s="53">
        <f>SUM(E35:E37)</f>
        <v>164576</v>
      </c>
      <c r="F34" s="53">
        <f>F35+F36+F37</f>
        <v>1431439</v>
      </c>
      <c r="G34" s="54">
        <f>G35+G36+G37</f>
        <v>28682.56</v>
      </c>
      <c r="H34" s="54">
        <f>H35</f>
        <v>60060.89</v>
      </c>
      <c r="I34" s="54"/>
      <c r="J34" s="54"/>
      <c r="K34" s="53">
        <f>G34+H34</f>
        <v>88743.45</v>
      </c>
      <c r="L34" s="55">
        <f>L35+L36</f>
        <v>1462442.2000000002</v>
      </c>
      <c r="M34" s="56">
        <f aca="true" t="shared" si="2" ref="M34:N36">E34-K34</f>
        <v>75832.55</v>
      </c>
      <c r="N34" s="70">
        <f t="shared" si="2"/>
        <v>-31003.200000000186</v>
      </c>
      <c r="O34" s="58">
        <v>0</v>
      </c>
      <c r="P34" s="59">
        <v>0</v>
      </c>
      <c r="Q34" s="1"/>
      <c r="R34" s="1"/>
    </row>
    <row r="35" spans="1:18" ht="15.75" thickBot="1">
      <c r="A35" s="60" t="s">
        <v>57</v>
      </c>
      <c r="B35" s="411" t="s">
        <v>51</v>
      </c>
      <c r="C35" s="412"/>
      <c r="D35" s="413"/>
      <c r="E35" s="188">
        <v>67169</v>
      </c>
      <c r="F35" s="31">
        <f>614423+E35</f>
        <v>681592</v>
      </c>
      <c r="G35" s="62"/>
      <c r="H35" s="62">
        <v>60060.89</v>
      </c>
      <c r="I35" s="62"/>
      <c r="J35" s="62"/>
      <c r="K35" s="45">
        <f>H35</f>
        <v>60060.89</v>
      </c>
      <c r="L35" s="33">
        <f>554362.11+K35</f>
        <v>614423</v>
      </c>
      <c r="M35" s="34">
        <f t="shared" si="2"/>
        <v>7108.110000000001</v>
      </c>
      <c r="N35" s="63">
        <f t="shared" si="2"/>
        <v>67169</v>
      </c>
      <c r="O35" s="64">
        <v>0</v>
      </c>
      <c r="P35" s="65">
        <v>0</v>
      </c>
      <c r="Q35" s="1"/>
      <c r="R35" s="71">
        <f>10506304-F29</f>
        <v>-3384176</v>
      </c>
    </row>
    <row r="36" spans="1:18" ht="15.75" thickBot="1">
      <c r="A36" s="60" t="s">
        <v>58</v>
      </c>
      <c r="B36" s="405" t="s">
        <v>53</v>
      </c>
      <c r="C36" s="406"/>
      <c r="D36" s="407"/>
      <c r="E36" s="188">
        <v>97407</v>
      </c>
      <c r="F36" s="31">
        <f>652440+E36</f>
        <v>749847</v>
      </c>
      <c r="G36" s="62">
        <v>28682.56</v>
      </c>
      <c r="H36" s="62"/>
      <c r="I36" s="62"/>
      <c r="J36" s="62"/>
      <c r="K36" s="45">
        <f>G36</f>
        <v>28682.56</v>
      </c>
      <c r="L36" s="33">
        <f>819336.64+K36</f>
        <v>848019.2000000001</v>
      </c>
      <c r="M36" s="34">
        <f>E36-K36</f>
        <v>68724.44</v>
      </c>
      <c r="N36" s="63">
        <f t="shared" si="2"/>
        <v>-98172.20000000007</v>
      </c>
      <c r="O36" s="64">
        <v>0</v>
      </c>
      <c r="P36" s="65">
        <v>0</v>
      </c>
      <c r="Q36" s="1"/>
      <c r="R36" s="1"/>
    </row>
    <row r="37" spans="1:18" ht="15.75" thickBot="1">
      <c r="A37" s="60" t="s">
        <v>59</v>
      </c>
      <c r="B37" s="405" t="s">
        <v>55</v>
      </c>
      <c r="C37" s="406"/>
      <c r="D37" s="407"/>
      <c r="E37" s="45"/>
      <c r="F37" s="31"/>
      <c r="G37" s="62"/>
      <c r="H37" s="62"/>
      <c r="I37" s="62"/>
      <c r="J37" s="62"/>
      <c r="K37" s="45"/>
      <c r="L37" s="33"/>
      <c r="M37" s="67"/>
      <c r="N37" s="72"/>
      <c r="O37" s="64"/>
      <c r="P37" s="65"/>
      <c r="Q37" s="1"/>
      <c r="R37" s="1"/>
    </row>
    <row r="38" spans="1:18" ht="30.75" customHeight="1" thickBot="1">
      <c r="A38" s="69" t="s">
        <v>60</v>
      </c>
      <c r="B38" s="408" t="s">
        <v>61</v>
      </c>
      <c r="C38" s="409"/>
      <c r="D38" s="410"/>
      <c r="E38" s="53">
        <f>SUM(E41:E43)</f>
        <v>5065</v>
      </c>
      <c r="F38" s="73">
        <f>F41+F42+F43</f>
        <v>48585</v>
      </c>
      <c r="G38" s="54">
        <f>G40</f>
        <v>5064.09</v>
      </c>
      <c r="H38" s="54"/>
      <c r="I38" s="54"/>
      <c r="J38" s="54"/>
      <c r="K38" s="55">
        <f>K39+K40</f>
        <v>5064.09</v>
      </c>
      <c r="L38" s="55">
        <f>L40+L39</f>
        <v>46506.729999999996</v>
      </c>
      <c r="M38" s="56">
        <f>E38-K38</f>
        <v>0.9099999999998545</v>
      </c>
      <c r="N38" s="57">
        <f>F38-L38</f>
        <v>2078.270000000004</v>
      </c>
      <c r="O38" s="58">
        <v>0</v>
      </c>
      <c r="P38" s="59">
        <v>0</v>
      </c>
      <c r="Q38" s="1"/>
      <c r="R38" s="1"/>
    </row>
    <row r="39" spans="1:18" ht="15.75" thickBot="1">
      <c r="A39" s="60" t="s">
        <v>62</v>
      </c>
      <c r="B39" s="411" t="s">
        <v>51</v>
      </c>
      <c r="C39" s="412"/>
      <c r="D39" s="413"/>
      <c r="E39" s="33"/>
      <c r="F39" s="31"/>
      <c r="G39" s="62"/>
      <c r="H39" s="62"/>
      <c r="I39" s="62"/>
      <c r="J39" s="62"/>
      <c r="K39" s="45"/>
      <c r="L39" s="33"/>
      <c r="M39" s="67"/>
      <c r="N39" s="72"/>
      <c r="O39" s="64"/>
      <c r="P39" s="65"/>
      <c r="Q39" s="1"/>
      <c r="R39" s="1"/>
    </row>
    <row r="40" spans="1:18" ht="15.75" thickBot="1">
      <c r="A40" s="60" t="s">
        <v>63</v>
      </c>
      <c r="B40" s="405" t="s">
        <v>53</v>
      </c>
      <c r="C40" s="406"/>
      <c r="D40" s="407"/>
      <c r="E40" s="45">
        <f>E41+E42+E43</f>
        <v>5065</v>
      </c>
      <c r="F40" s="31">
        <f>43520+E40</f>
        <v>48585</v>
      </c>
      <c r="G40" s="62">
        <f>G41+G42</f>
        <v>5064.09</v>
      </c>
      <c r="H40" s="62"/>
      <c r="I40" s="62"/>
      <c r="J40" s="62"/>
      <c r="K40" s="33">
        <f>0+G40</f>
        <v>5064.09</v>
      </c>
      <c r="L40" s="33">
        <f>L41+L42+L43</f>
        <v>46506.729999999996</v>
      </c>
      <c r="M40" s="34">
        <f>E40-K40</f>
        <v>0.9099999999998545</v>
      </c>
      <c r="N40" s="63">
        <f aca="true" t="shared" si="3" ref="M40:N55">F40-L40</f>
        <v>2078.270000000004</v>
      </c>
      <c r="O40" s="64">
        <v>0</v>
      </c>
      <c r="P40" s="65">
        <v>0</v>
      </c>
      <c r="Q40" s="1"/>
      <c r="R40" s="1">
        <f>597.62+626.75+3839.72-2219</f>
        <v>2845.09</v>
      </c>
    </row>
    <row r="41" spans="1:18" ht="15.75" thickBot="1">
      <c r="A41" s="60" t="s">
        <v>64</v>
      </c>
      <c r="B41" s="414" t="s">
        <v>65</v>
      </c>
      <c r="C41" s="415"/>
      <c r="D41" s="416"/>
      <c r="E41" s="153">
        <v>2846</v>
      </c>
      <c r="F41" s="31">
        <f>22768+E41</f>
        <v>25614</v>
      </c>
      <c r="G41" s="62">
        <v>2845.09</v>
      </c>
      <c r="H41" s="62"/>
      <c r="I41" s="62"/>
      <c r="J41" s="62"/>
      <c r="K41" s="33">
        <f>0+G41</f>
        <v>2845.09</v>
      </c>
      <c r="L41" s="33">
        <f>21578.64+K41</f>
        <v>24423.73</v>
      </c>
      <c r="M41" s="34">
        <f t="shared" si="3"/>
        <v>0.9099999999998545</v>
      </c>
      <c r="N41" s="63">
        <f t="shared" si="3"/>
        <v>1190.2700000000004</v>
      </c>
      <c r="O41" s="64">
        <v>0</v>
      </c>
      <c r="P41" s="65">
        <v>0</v>
      </c>
      <c r="Q41" s="1"/>
      <c r="R41" s="1"/>
    </row>
    <row r="42" spans="1:18" ht="15.75" thickBot="1">
      <c r="A42" s="60" t="s">
        <v>66</v>
      </c>
      <c r="B42" s="414" t="s">
        <v>67</v>
      </c>
      <c r="C42" s="415"/>
      <c r="D42" s="416"/>
      <c r="E42" s="153">
        <v>2219</v>
      </c>
      <c r="F42" s="31">
        <f>17752+E42</f>
        <v>19971</v>
      </c>
      <c r="G42" s="62">
        <v>2219</v>
      </c>
      <c r="H42" s="62"/>
      <c r="I42" s="62"/>
      <c r="J42" s="62"/>
      <c r="K42" s="33">
        <f>0+G42</f>
        <v>2219</v>
      </c>
      <c r="L42" s="33">
        <f>17752+K42</f>
        <v>19971</v>
      </c>
      <c r="M42" s="34">
        <f t="shared" si="3"/>
        <v>0</v>
      </c>
      <c r="N42" s="63">
        <f t="shared" si="3"/>
        <v>0</v>
      </c>
      <c r="O42" s="64">
        <v>0</v>
      </c>
      <c r="P42" s="65">
        <v>0</v>
      </c>
      <c r="Q42" s="1"/>
      <c r="R42" s="1"/>
    </row>
    <row r="43" spans="1:18" ht="15.75" thickBot="1">
      <c r="A43" s="60" t="s">
        <v>68</v>
      </c>
      <c r="B43" s="414" t="s">
        <v>210</v>
      </c>
      <c r="C43" s="415"/>
      <c r="D43" s="416"/>
      <c r="E43" s="153"/>
      <c r="F43" s="31">
        <f>3000+E43</f>
        <v>3000</v>
      </c>
      <c r="G43" s="74"/>
      <c r="H43" s="74"/>
      <c r="I43" s="74"/>
      <c r="J43" s="62"/>
      <c r="K43" s="33">
        <f>0+J43</f>
        <v>0</v>
      </c>
      <c r="L43" s="33">
        <f>2112+K43</f>
        <v>2112</v>
      </c>
      <c r="M43" s="34">
        <f t="shared" si="3"/>
        <v>0</v>
      </c>
      <c r="N43" s="63">
        <f t="shared" si="3"/>
        <v>888</v>
      </c>
      <c r="O43" s="64">
        <v>0</v>
      </c>
      <c r="P43" s="65">
        <v>0</v>
      </c>
      <c r="Q43" s="1"/>
      <c r="R43" s="37"/>
    </row>
    <row r="44" spans="1:18" ht="32.25" customHeight="1" thickBot="1">
      <c r="A44" s="51" t="s">
        <v>69</v>
      </c>
      <c r="B44" s="408" t="s">
        <v>70</v>
      </c>
      <c r="C44" s="409"/>
      <c r="D44" s="410"/>
      <c r="E44" s="53">
        <f>SUM(E47:E49)</f>
        <v>277600</v>
      </c>
      <c r="F44" s="73">
        <f>F45+F46+F47</f>
        <v>1577800</v>
      </c>
      <c r="G44" s="55">
        <f>G45+G46+G47</f>
        <v>64115</v>
      </c>
      <c r="H44" s="75"/>
      <c r="I44" s="75"/>
      <c r="J44" s="54"/>
      <c r="K44" s="55">
        <f>K45+K46+K47</f>
        <v>64115</v>
      </c>
      <c r="L44" s="55">
        <f>L45+L46+L47</f>
        <v>1357205</v>
      </c>
      <c r="M44" s="56">
        <f t="shared" si="3"/>
        <v>213485</v>
      </c>
      <c r="N44" s="158">
        <f t="shared" si="3"/>
        <v>220595</v>
      </c>
      <c r="O44" s="58">
        <v>0</v>
      </c>
      <c r="P44" s="59">
        <v>0</v>
      </c>
      <c r="Q44" s="1"/>
      <c r="R44" s="1"/>
    </row>
    <row r="45" spans="1:18" ht="15.75" thickBot="1">
      <c r="A45" s="60" t="s">
        <v>71</v>
      </c>
      <c r="B45" s="405" t="s">
        <v>53</v>
      </c>
      <c r="C45" s="406"/>
      <c r="D45" s="407"/>
      <c r="E45" s="155">
        <f>E48+E49</f>
        <v>277600</v>
      </c>
      <c r="F45" s="31">
        <f>F48+F49+F50</f>
        <v>1577800</v>
      </c>
      <c r="G45" s="33">
        <f>G48+G49</f>
        <v>64115</v>
      </c>
      <c r="H45" s="74"/>
      <c r="I45" s="74"/>
      <c r="J45" s="62"/>
      <c r="K45" s="33">
        <f>0+G45</f>
        <v>64115</v>
      </c>
      <c r="L45" s="33">
        <f>L48+L49</f>
        <v>1357205</v>
      </c>
      <c r="M45" s="34">
        <f>E45-K45</f>
        <v>213485</v>
      </c>
      <c r="N45" s="35">
        <f t="shared" si="3"/>
        <v>220595</v>
      </c>
      <c r="O45" s="64">
        <v>0</v>
      </c>
      <c r="P45" s="65">
        <v>0</v>
      </c>
      <c r="Q45" s="1"/>
      <c r="R45" s="1"/>
    </row>
    <row r="46" spans="1:18" ht="15.75" thickBot="1">
      <c r="A46" s="60" t="s">
        <v>72</v>
      </c>
      <c r="B46" s="411" t="s">
        <v>51</v>
      </c>
      <c r="C46" s="412"/>
      <c r="D46" s="413"/>
      <c r="E46" s="76"/>
      <c r="F46" s="31"/>
      <c r="G46" s="33"/>
      <c r="H46" s="74"/>
      <c r="I46" s="74"/>
      <c r="J46" s="62"/>
      <c r="K46" s="33">
        <f aca="true" t="shared" si="4" ref="K46:K53">0+G46</f>
        <v>0</v>
      </c>
      <c r="L46" s="33">
        <f>0+K46</f>
        <v>0</v>
      </c>
      <c r="M46" s="34">
        <f t="shared" si="3"/>
        <v>0</v>
      </c>
      <c r="N46" s="63">
        <f t="shared" si="3"/>
        <v>0</v>
      </c>
      <c r="O46" s="64">
        <v>0</v>
      </c>
      <c r="P46" s="65">
        <v>0</v>
      </c>
      <c r="Q46" s="1"/>
      <c r="R46" s="1"/>
    </row>
    <row r="47" spans="1:18" ht="15.75" thickBot="1">
      <c r="A47" s="60" t="s">
        <v>73</v>
      </c>
      <c r="B47" s="77" t="s">
        <v>55</v>
      </c>
      <c r="C47" s="78"/>
      <c r="D47" s="78"/>
      <c r="E47" s="79"/>
      <c r="F47" s="31"/>
      <c r="G47" s="33"/>
      <c r="H47" s="74"/>
      <c r="I47" s="74"/>
      <c r="J47" s="62"/>
      <c r="K47" s="33">
        <f t="shared" si="4"/>
        <v>0</v>
      </c>
      <c r="L47" s="33">
        <f>0+K47</f>
        <v>0</v>
      </c>
      <c r="M47" s="34">
        <f t="shared" si="3"/>
        <v>0</v>
      </c>
      <c r="N47" s="63">
        <f t="shared" si="3"/>
        <v>0</v>
      </c>
      <c r="O47" s="64">
        <v>0</v>
      </c>
      <c r="P47" s="65">
        <v>0</v>
      </c>
      <c r="Q47" s="1"/>
      <c r="R47" s="80"/>
    </row>
    <row r="48" spans="1:18" ht="27.75" customHeight="1" thickBot="1">
      <c r="A48" s="60" t="s">
        <v>74</v>
      </c>
      <c r="B48" s="420" t="s">
        <v>75</v>
      </c>
      <c r="C48" s="421"/>
      <c r="D48" s="422"/>
      <c r="E48" s="156">
        <v>265000</v>
      </c>
      <c r="F48" s="31">
        <f>1275000+E48</f>
        <v>1540000</v>
      </c>
      <c r="G48" s="74">
        <v>64115</v>
      </c>
      <c r="H48" s="74"/>
      <c r="I48" s="74"/>
      <c r="J48" s="62"/>
      <c r="K48" s="33">
        <f>0+G48</f>
        <v>64115</v>
      </c>
      <c r="L48" s="33">
        <f>1288003+K48</f>
        <v>1352118</v>
      </c>
      <c r="M48" s="34">
        <f>E48-K48</f>
        <v>200885</v>
      </c>
      <c r="N48" s="63">
        <f t="shared" si="3"/>
        <v>187882</v>
      </c>
      <c r="O48" s="64">
        <v>0</v>
      </c>
      <c r="P48" s="65">
        <v>0</v>
      </c>
      <c r="Q48" s="1"/>
      <c r="R48" s="37"/>
    </row>
    <row r="49" spans="1:18" ht="27" customHeight="1" thickBot="1">
      <c r="A49" s="60" t="s">
        <v>76</v>
      </c>
      <c r="B49" s="420" t="s">
        <v>77</v>
      </c>
      <c r="C49" s="421"/>
      <c r="D49" s="422"/>
      <c r="E49" s="156">
        <v>12600</v>
      </c>
      <c r="F49" s="31">
        <f>25200+E49</f>
        <v>37800</v>
      </c>
      <c r="G49" s="74"/>
      <c r="H49" s="74"/>
      <c r="I49" s="74"/>
      <c r="J49" s="62"/>
      <c r="K49" s="33">
        <f t="shared" si="4"/>
        <v>0</v>
      </c>
      <c r="L49" s="33">
        <f>5087+K49</f>
        <v>5087</v>
      </c>
      <c r="M49" s="34">
        <f t="shared" si="3"/>
        <v>12600</v>
      </c>
      <c r="N49" s="63">
        <f t="shared" si="3"/>
        <v>32713</v>
      </c>
      <c r="O49" s="64">
        <v>0</v>
      </c>
      <c r="P49" s="65">
        <v>0</v>
      </c>
      <c r="Q49" s="1"/>
      <c r="R49" s="1"/>
    </row>
    <row r="50" spans="1:18" ht="15.75" thickBot="1">
      <c r="A50" s="60" t="s">
        <v>78</v>
      </c>
      <c r="B50" s="420" t="s">
        <v>79</v>
      </c>
      <c r="C50" s="421"/>
      <c r="D50" s="422"/>
      <c r="E50" s="74"/>
      <c r="F50" s="31">
        <f>0+E50</f>
        <v>0</v>
      </c>
      <c r="G50" s="74"/>
      <c r="H50" s="74"/>
      <c r="I50" s="74"/>
      <c r="J50" s="62"/>
      <c r="K50" s="33">
        <f t="shared" si="4"/>
        <v>0</v>
      </c>
      <c r="L50" s="33">
        <f aca="true" t="shared" si="5" ref="L50:L57">0+K50</f>
        <v>0</v>
      </c>
      <c r="M50" s="34">
        <f t="shared" si="3"/>
        <v>0</v>
      </c>
      <c r="N50" s="63">
        <f t="shared" si="3"/>
        <v>0</v>
      </c>
      <c r="O50" s="64">
        <v>0</v>
      </c>
      <c r="P50" s="65">
        <v>0</v>
      </c>
      <c r="Q50" s="1"/>
      <c r="R50" s="1"/>
    </row>
    <row r="51" spans="1:18" ht="49.5" customHeight="1" thickBot="1">
      <c r="A51" s="69" t="s">
        <v>80</v>
      </c>
      <c r="B51" s="423" t="s">
        <v>81</v>
      </c>
      <c r="C51" s="424"/>
      <c r="D51" s="425"/>
      <c r="E51" s="55">
        <v>0</v>
      </c>
      <c r="F51" s="55">
        <v>0</v>
      </c>
      <c r="G51" s="55"/>
      <c r="H51" s="55"/>
      <c r="I51" s="55"/>
      <c r="J51" s="54"/>
      <c r="K51" s="55">
        <f t="shared" si="4"/>
        <v>0</v>
      </c>
      <c r="L51" s="55">
        <f t="shared" si="5"/>
        <v>0</v>
      </c>
      <c r="M51" s="56">
        <f t="shared" si="3"/>
        <v>0</v>
      </c>
      <c r="N51" s="57">
        <f t="shared" si="3"/>
        <v>0</v>
      </c>
      <c r="O51" s="58">
        <v>0</v>
      </c>
      <c r="P51" s="59">
        <v>0</v>
      </c>
      <c r="Q51" s="1"/>
      <c r="R51" s="1"/>
    </row>
    <row r="52" spans="1:18" ht="15.75" thickBot="1">
      <c r="A52" s="60" t="s">
        <v>82</v>
      </c>
      <c r="B52" s="405" t="s">
        <v>53</v>
      </c>
      <c r="C52" s="406"/>
      <c r="D52" s="407"/>
      <c r="E52" s="33"/>
      <c r="F52" s="33"/>
      <c r="G52" s="33"/>
      <c r="H52" s="33"/>
      <c r="I52" s="33"/>
      <c r="J52" s="62"/>
      <c r="K52" s="33">
        <f t="shared" si="4"/>
        <v>0</v>
      </c>
      <c r="L52" s="33">
        <f t="shared" si="5"/>
        <v>0</v>
      </c>
      <c r="M52" s="34">
        <f t="shared" si="3"/>
        <v>0</v>
      </c>
      <c r="N52" s="63">
        <f t="shared" si="3"/>
        <v>0</v>
      </c>
      <c r="O52" s="64">
        <v>0</v>
      </c>
      <c r="P52" s="65">
        <v>0</v>
      </c>
      <c r="Q52" s="1"/>
      <c r="R52" s="1"/>
    </row>
    <row r="53" spans="1:18" ht="15.75" thickBot="1">
      <c r="A53" s="60" t="s">
        <v>83</v>
      </c>
      <c r="B53" s="457" t="s">
        <v>55</v>
      </c>
      <c r="C53" s="458"/>
      <c r="D53" s="459"/>
      <c r="E53" s="33"/>
      <c r="F53" s="33"/>
      <c r="G53" s="33"/>
      <c r="H53" s="33"/>
      <c r="I53" s="33"/>
      <c r="J53" s="62"/>
      <c r="K53" s="33">
        <f t="shared" si="4"/>
        <v>0</v>
      </c>
      <c r="L53" s="33">
        <f t="shared" si="5"/>
        <v>0</v>
      </c>
      <c r="M53" s="34">
        <f t="shared" si="3"/>
        <v>0</v>
      </c>
      <c r="N53" s="63">
        <f t="shared" si="3"/>
        <v>0</v>
      </c>
      <c r="O53" s="64">
        <v>0</v>
      </c>
      <c r="P53" s="65">
        <v>0</v>
      </c>
      <c r="Q53" s="1"/>
      <c r="R53" s="1"/>
    </row>
    <row r="54" spans="1:18" ht="58.5" customHeight="1" thickBot="1">
      <c r="A54" s="69" t="s">
        <v>84</v>
      </c>
      <c r="B54" s="408" t="s">
        <v>85</v>
      </c>
      <c r="C54" s="409"/>
      <c r="D54" s="410"/>
      <c r="E54" s="53">
        <f>SUM(E59:E63)</f>
        <v>71300</v>
      </c>
      <c r="F54" s="73">
        <f>F55+F58</f>
        <v>1485300</v>
      </c>
      <c r="G54" s="55">
        <f>G55+G56+G57+G58</f>
        <v>17136.78</v>
      </c>
      <c r="H54" s="55"/>
      <c r="I54" s="55"/>
      <c r="J54" s="55">
        <f>J55+J56+J57+J58</f>
        <v>26035.98</v>
      </c>
      <c r="K54" s="55">
        <f>K55+K56+K57+K58</f>
        <v>43172.759999999995</v>
      </c>
      <c r="L54" s="55">
        <f>L55+L56+L57+L58</f>
        <v>1523091.2</v>
      </c>
      <c r="M54" s="56">
        <f t="shared" si="3"/>
        <v>28127.240000000005</v>
      </c>
      <c r="N54" s="70">
        <f t="shared" si="3"/>
        <v>-37791.19999999995</v>
      </c>
      <c r="O54" s="58">
        <v>0</v>
      </c>
      <c r="P54" s="59">
        <v>0</v>
      </c>
      <c r="Q54" s="1"/>
      <c r="R54" s="37">
        <f>F59+F60+F62+F63-F58</f>
        <v>1421700</v>
      </c>
    </row>
    <row r="55" spans="1:18" ht="15.75" thickBot="1">
      <c r="A55" s="60" t="s">
        <v>86</v>
      </c>
      <c r="B55" s="405" t="s">
        <v>53</v>
      </c>
      <c r="C55" s="406"/>
      <c r="D55" s="407"/>
      <c r="E55" s="81">
        <f>E59+E60+E62+E63-E58</f>
        <v>65100</v>
      </c>
      <c r="F55" s="31">
        <f>1356600+E55</f>
        <v>1421700</v>
      </c>
      <c r="G55" s="33">
        <f>G62+G63</f>
        <v>17136.78</v>
      </c>
      <c r="H55" s="33"/>
      <c r="I55" s="33"/>
      <c r="J55" s="33"/>
      <c r="K55" s="33">
        <f>0+G55</f>
        <v>17136.78</v>
      </c>
      <c r="L55" s="33">
        <f>1467767.38+K55</f>
        <v>1484904.16</v>
      </c>
      <c r="M55" s="34">
        <f>E55-K55</f>
        <v>47963.22</v>
      </c>
      <c r="N55" s="63">
        <f t="shared" si="3"/>
        <v>-63204.159999999916</v>
      </c>
      <c r="O55" s="64">
        <v>0</v>
      </c>
      <c r="P55" s="65">
        <v>0</v>
      </c>
      <c r="Q55" s="1"/>
      <c r="R55" s="37"/>
    </row>
    <row r="56" spans="1:18" ht="15.75" thickBot="1">
      <c r="A56" s="60" t="s">
        <v>87</v>
      </c>
      <c r="B56" s="411" t="s">
        <v>88</v>
      </c>
      <c r="C56" s="412"/>
      <c r="D56" s="413"/>
      <c r="E56" s="61"/>
      <c r="F56" s="31"/>
      <c r="G56" s="33"/>
      <c r="H56" s="33"/>
      <c r="I56" s="33"/>
      <c r="J56" s="33"/>
      <c r="K56" s="33">
        <f aca="true" t="shared" si="6" ref="K56:K61">0+G56</f>
        <v>0</v>
      </c>
      <c r="L56" s="33">
        <f t="shared" si="5"/>
        <v>0</v>
      </c>
      <c r="M56" s="34">
        <f aca="true" t="shared" si="7" ref="M56:N71">E56-K56</f>
        <v>0</v>
      </c>
      <c r="N56" s="63">
        <f t="shared" si="7"/>
        <v>0</v>
      </c>
      <c r="O56" s="64">
        <v>0</v>
      </c>
      <c r="P56" s="65">
        <v>0</v>
      </c>
      <c r="Q56" s="1"/>
      <c r="R56" s="37"/>
    </row>
    <row r="57" spans="1:18" ht="15.75" thickBot="1">
      <c r="A57" s="60" t="s">
        <v>89</v>
      </c>
      <c r="B57" s="435" t="s">
        <v>55</v>
      </c>
      <c r="C57" s="436"/>
      <c r="D57" s="436"/>
      <c r="E57" s="82"/>
      <c r="F57" s="31"/>
      <c r="G57" s="33"/>
      <c r="H57" s="33"/>
      <c r="I57" s="33"/>
      <c r="J57" s="33"/>
      <c r="K57" s="33">
        <f t="shared" si="6"/>
        <v>0</v>
      </c>
      <c r="L57" s="33">
        <f t="shared" si="5"/>
        <v>0</v>
      </c>
      <c r="M57" s="34">
        <f t="shared" si="7"/>
        <v>0</v>
      </c>
      <c r="N57" s="63">
        <f t="shared" si="7"/>
        <v>0</v>
      </c>
      <c r="O57" s="64">
        <v>0</v>
      </c>
      <c r="P57" s="65">
        <v>0</v>
      </c>
      <c r="Q57" s="1"/>
      <c r="R57" s="37">
        <f>L59+L60+L61+L62+L63</f>
        <v>1561278.2399999998</v>
      </c>
    </row>
    <row r="58" spans="1:18" ht="31.5" customHeight="1" thickBot="1">
      <c r="A58" s="60" t="s">
        <v>90</v>
      </c>
      <c r="B58" s="383" t="s">
        <v>40</v>
      </c>
      <c r="C58" s="384"/>
      <c r="D58" s="385"/>
      <c r="E58" s="155">
        <v>6200</v>
      </c>
      <c r="F58" s="31">
        <f>57400+E58</f>
        <v>63600</v>
      </c>
      <c r="G58" s="33"/>
      <c r="H58" s="33"/>
      <c r="I58" s="33"/>
      <c r="J58" s="33">
        <f>J62+J63+J59</f>
        <v>26035.98</v>
      </c>
      <c r="K58" s="33">
        <f>0+J58</f>
        <v>26035.98</v>
      </c>
      <c r="L58" s="33">
        <f>12151.06+K58</f>
        <v>38187.04</v>
      </c>
      <c r="M58" s="34">
        <f t="shared" si="7"/>
        <v>-19835.98</v>
      </c>
      <c r="N58" s="315">
        <f t="shared" si="7"/>
        <v>25412.96</v>
      </c>
      <c r="O58" s="64">
        <v>0</v>
      </c>
      <c r="P58" s="65">
        <v>0</v>
      </c>
      <c r="Q58" s="1"/>
      <c r="R58" s="37">
        <f>F59+F60+F62+F63</f>
        <v>1485300</v>
      </c>
    </row>
    <row r="59" spans="1:18" ht="30" customHeight="1" thickBot="1">
      <c r="A59" s="60" t="s">
        <v>91</v>
      </c>
      <c r="B59" s="437" t="s">
        <v>92</v>
      </c>
      <c r="C59" s="438"/>
      <c r="D59" s="439"/>
      <c r="E59" s="156">
        <v>60000</v>
      </c>
      <c r="F59" s="31">
        <f>470000+E59</f>
        <v>530000</v>
      </c>
      <c r="G59" s="74"/>
      <c r="H59" s="74"/>
      <c r="I59" s="74"/>
      <c r="J59" s="33">
        <v>26035.98</v>
      </c>
      <c r="K59" s="33">
        <f>J59+G59</f>
        <v>26035.98</v>
      </c>
      <c r="L59" s="33">
        <f>466979.62+K59</f>
        <v>493015.6</v>
      </c>
      <c r="M59" s="34">
        <f t="shared" si="7"/>
        <v>33964.020000000004</v>
      </c>
      <c r="N59" s="35">
        <f t="shared" si="7"/>
        <v>36984.40000000002</v>
      </c>
      <c r="O59" s="64">
        <v>0</v>
      </c>
      <c r="P59" s="65">
        <v>0</v>
      </c>
      <c r="Q59" s="1"/>
      <c r="R59" s="80"/>
    </row>
    <row r="60" spans="1:18" ht="15.75" thickBot="1">
      <c r="A60" s="60" t="s">
        <v>93</v>
      </c>
      <c r="B60" s="426" t="s">
        <v>94</v>
      </c>
      <c r="C60" s="427"/>
      <c r="D60" s="427"/>
      <c r="E60" s="152"/>
      <c r="F60" s="31">
        <f>870000+E60</f>
        <v>870000</v>
      </c>
      <c r="G60" s="74"/>
      <c r="H60" s="74"/>
      <c r="I60" s="74"/>
      <c r="J60" s="33"/>
      <c r="K60" s="33">
        <f>0+G60</f>
        <v>0</v>
      </c>
      <c r="L60" s="33">
        <f>986172.22+K60</f>
        <v>986172.22</v>
      </c>
      <c r="M60" s="34">
        <f t="shared" si="7"/>
        <v>0</v>
      </c>
      <c r="N60" s="63">
        <f t="shared" si="7"/>
        <v>-116172.21999999997</v>
      </c>
      <c r="O60" s="64">
        <v>0</v>
      </c>
      <c r="P60" s="65">
        <v>0</v>
      </c>
      <c r="Q60" s="1"/>
      <c r="R60" s="37">
        <f>L63+L62+L61+L60+L59-L58</f>
        <v>1523091.1999999997</v>
      </c>
    </row>
    <row r="61" spans="1:18" ht="15.75" thickBot="1">
      <c r="A61" s="60" t="s">
        <v>93</v>
      </c>
      <c r="B61" s="440" t="s">
        <v>95</v>
      </c>
      <c r="C61" s="441"/>
      <c r="D61" s="442"/>
      <c r="E61" s="152"/>
      <c r="F61" s="31"/>
      <c r="G61" s="74"/>
      <c r="H61" s="74"/>
      <c r="I61" s="74"/>
      <c r="J61" s="33"/>
      <c r="K61" s="33">
        <f t="shared" si="6"/>
        <v>0</v>
      </c>
      <c r="L61" s="33">
        <f>0+K61</f>
        <v>0</v>
      </c>
      <c r="M61" s="34">
        <f t="shared" si="7"/>
        <v>0</v>
      </c>
      <c r="N61" s="63">
        <f t="shared" si="7"/>
        <v>0</v>
      </c>
      <c r="O61" s="64">
        <v>0</v>
      </c>
      <c r="P61" s="65">
        <v>0</v>
      </c>
      <c r="Q61" s="1"/>
      <c r="R61" s="1"/>
    </row>
    <row r="62" spans="1:18" ht="18.75" customHeight="1" thickBot="1">
      <c r="A62" s="60" t="s">
        <v>96</v>
      </c>
      <c r="B62" s="426" t="s">
        <v>97</v>
      </c>
      <c r="C62" s="427"/>
      <c r="D62" s="428"/>
      <c r="E62" s="152">
        <v>6000</v>
      </c>
      <c r="F62" s="31">
        <f>39300+E62</f>
        <v>45300</v>
      </c>
      <c r="G62" s="83">
        <v>9152.45</v>
      </c>
      <c r="H62" s="84"/>
      <c r="I62" s="74"/>
      <c r="J62" s="74"/>
      <c r="K62" s="33">
        <f>0+J62+G62</f>
        <v>9152.45</v>
      </c>
      <c r="L62" s="33">
        <f>34687.7+K62</f>
        <v>43840.149999999994</v>
      </c>
      <c r="M62" s="34">
        <f t="shared" si="7"/>
        <v>-3152.4500000000007</v>
      </c>
      <c r="N62" s="63">
        <f t="shared" si="7"/>
        <v>1459.8500000000058</v>
      </c>
      <c r="O62" s="64">
        <v>0</v>
      </c>
      <c r="P62" s="65">
        <v>0</v>
      </c>
      <c r="Q62" s="1"/>
      <c r="R62" s="1"/>
    </row>
    <row r="63" spans="1:18" ht="29.25" customHeight="1" thickBot="1">
      <c r="A63" s="60" t="s">
        <v>98</v>
      </c>
      <c r="B63" s="426" t="s">
        <v>99</v>
      </c>
      <c r="C63" s="427"/>
      <c r="D63" s="428"/>
      <c r="E63" s="152">
        <v>5300</v>
      </c>
      <c r="F63" s="31">
        <f>34700+E63</f>
        <v>40000</v>
      </c>
      <c r="G63" s="85">
        <v>7984.33</v>
      </c>
      <c r="H63" s="74"/>
      <c r="I63" s="74"/>
      <c r="J63" s="74"/>
      <c r="K63" s="33">
        <f>0+J63+G63</f>
        <v>7984.33</v>
      </c>
      <c r="L63" s="33">
        <f>30265.94+K63</f>
        <v>38250.27</v>
      </c>
      <c r="M63" s="34">
        <f t="shared" si="7"/>
        <v>-2684.33</v>
      </c>
      <c r="N63" s="63">
        <f t="shared" si="7"/>
        <v>1749.7300000000032</v>
      </c>
      <c r="O63" s="64">
        <v>0</v>
      </c>
      <c r="P63" s="65">
        <v>0</v>
      </c>
      <c r="Q63" s="1"/>
      <c r="R63" s="1"/>
    </row>
    <row r="64" spans="1:18" ht="51.75" customHeight="1" thickBot="1">
      <c r="A64" s="86" t="s">
        <v>100</v>
      </c>
      <c r="B64" s="429" t="s">
        <v>101</v>
      </c>
      <c r="C64" s="430"/>
      <c r="D64" s="431"/>
      <c r="E64" s="53">
        <f>E65</f>
        <v>0</v>
      </c>
      <c r="F64" s="73">
        <f>F65+F66</f>
        <v>342500</v>
      </c>
      <c r="G64" s="75">
        <f>G65+G66</f>
        <v>0</v>
      </c>
      <c r="H64" s="55"/>
      <c r="I64" s="55">
        <f>I66</f>
        <v>0</v>
      </c>
      <c r="J64" s="55">
        <f>J65+J66</f>
        <v>0</v>
      </c>
      <c r="K64" s="55">
        <f>K65+K66</f>
        <v>0</v>
      </c>
      <c r="L64" s="55">
        <f>L65+L66</f>
        <v>60074</v>
      </c>
      <c r="M64" s="56">
        <f t="shared" si="7"/>
        <v>0</v>
      </c>
      <c r="N64" s="70">
        <f t="shared" si="7"/>
        <v>282426</v>
      </c>
      <c r="O64" s="58">
        <v>0</v>
      </c>
      <c r="P64" s="59">
        <v>0</v>
      </c>
      <c r="Q64" s="1"/>
      <c r="R64" s="1"/>
    </row>
    <row r="65" spans="1:18" ht="15.75" thickBot="1">
      <c r="A65" s="60" t="s">
        <v>102</v>
      </c>
      <c r="B65" s="405" t="s">
        <v>53</v>
      </c>
      <c r="C65" s="406"/>
      <c r="D65" s="407"/>
      <c r="E65" s="45"/>
      <c r="F65" s="31">
        <f>342500+E65</f>
        <v>342500</v>
      </c>
      <c r="G65" s="74"/>
      <c r="H65" s="33"/>
      <c r="I65" s="33"/>
      <c r="J65" s="33"/>
      <c r="K65" s="33">
        <f>0+G65</f>
        <v>0</v>
      </c>
      <c r="L65" s="33">
        <f>60074+K65</f>
        <v>60074</v>
      </c>
      <c r="M65" s="34">
        <f t="shared" si="7"/>
        <v>0</v>
      </c>
      <c r="N65" s="35">
        <f t="shared" si="7"/>
        <v>282426</v>
      </c>
      <c r="O65" s="64">
        <v>0</v>
      </c>
      <c r="P65" s="65">
        <v>0</v>
      </c>
      <c r="Q65" s="1"/>
      <c r="R65" s="1"/>
    </row>
    <row r="66" spans="1:18" ht="15.75" thickBot="1">
      <c r="A66" s="60" t="s">
        <v>103</v>
      </c>
      <c r="B66" s="435" t="s">
        <v>104</v>
      </c>
      <c r="C66" s="436"/>
      <c r="D66" s="490"/>
      <c r="E66" s="45"/>
      <c r="F66" s="31"/>
      <c r="G66" s="74"/>
      <c r="H66" s="33"/>
      <c r="I66" s="33"/>
      <c r="J66" s="33"/>
      <c r="K66" s="33">
        <f>0+I66</f>
        <v>0</v>
      </c>
      <c r="L66" s="33">
        <f>0+K66</f>
        <v>0</v>
      </c>
      <c r="M66" s="34">
        <f t="shared" si="7"/>
        <v>0</v>
      </c>
      <c r="N66" s="35">
        <f t="shared" si="7"/>
        <v>0</v>
      </c>
      <c r="O66" s="64">
        <v>0</v>
      </c>
      <c r="P66" s="65">
        <v>0</v>
      </c>
      <c r="Q66" s="1"/>
      <c r="R66" s="1"/>
    </row>
    <row r="67" spans="1:18" ht="36.75" customHeight="1" thickBot="1">
      <c r="A67" s="69" t="s">
        <v>105</v>
      </c>
      <c r="B67" s="432" t="s">
        <v>215</v>
      </c>
      <c r="C67" s="433"/>
      <c r="D67" s="434"/>
      <c r="E67" s="53">
        <f>E68</f>
        <v>0</v>
      </c>
      <c r="F67" s="73">
        <f>F68+F69+F70</f>
        <v>665000</v>
      </c>
      <c r="G67" s="75">
        <f>G68+G69</f>
        <v>30100</v>
      </c>
      <c r="H67" s="55"/>
      <c r="I67" s="55"/>
      <c r="J67" s="55"/>
      <c r="K67" s="55">
        <f>K68+K69+K70</f>
        <v>30100</v>
      </c>
      <c r="L67" s="55">
        <f>L68+L69+L70</f>
        <v>63728</v>
      </c>
      <c r="M67" s="56">
        <f t="shared" si="7"/>
        <v>-30100</v>
      </c>
      <c r="N67" s="70">
        <f t="shared" si="7"/>
        <v>601272</v>
      </c>
      <c r="O67" s="58">
        <v>0</v>
      </c>
      <c r="P67" s="59">
        <v>0</v>
      </c>
      <c r="Q67" s="1"/>
      <c r="R67" s="37"/>
    </row>
    <row r="68" spans="1:18" ht="15.75" thickBot="1">
      <c r="A68" s="60" t="s">
        <v>107</v>
      </c>
      <c r="B68" s="446" t="s">
        <v>53</v>
      </c>
      <c r="C68" s="447"/>
      <c r="D68" s="448"/>
      <c r="E68" s="61"/>
      <c r="F68" s="31">
        <f>665000+E68</f>
        <v>665000</v>
      </c>
      <c r="G68" s="74">
        <v>30100</v>
      </c>
      <c r="H68" s="33"/>
      <c r="I68" s="33"/>
      <c r="J68" s="33"/>
      <c r="K68" s="33">
        <f>G68</f>
        <v>30100</v>
      </c>
      <c r="L68" s="33">
        <f>33628+K68</f>
        <v>63728</v>
      </c>
      <c r="M68" s="34">
        <f>E68-K68</f>
        <v>-30100</v>
      </c>
      <c r="N68" s="35">
        <f t="shared" si="7"/>
        <v>601272</v>
      </c>
      <c r="O68" s="64">
        <v>0</v>
      </c>
      <c r="P68" s="65">
        <v>0</v>
      </c>
      <c r="Q68" s="1"/>
      <c r="R68" s="37"/>
    </row>
    <row r="69" spans="1:18" ht="15.75" thickBot="1">
      <c r="A69" s="60" t="s">
        <v>108</v>
      </c>
      <c r="B69" s="435" t="s">
        <v>104</v>
      </c>
      <c r="C69" s="436"/>
      <c r="D69" s="490"/>
      <c r="E69" s="61"/>
      <c r="F69" s="31"/>
      <c r="G69" s="74"/>
      <c r="H69" s="33"/>
      <c r="I69" s="33"/>
      <c r="J69" s="33"/>
      <c r="K69" s="33">
        <f>G69</f>
        <v>0</v>
      </c>
      <c r="L69" s="33">
        <f>0+K69</f>
        <v>0</v>
      </c>
      <c r="M69" s="34">
        <f t="shared" si="7"/>
        <v>0</v>
      </c>
      <c r="N69" s="35">
        <f t="shared" si="7"/>
        <v>0</v>
      </c>
      <c r="O69" s="64">
        <v>0</v>
      </c>
      <c r="P69" s="65">
        <v>0</v>
      </c>
      <c r="Q69" s="1"/>
      <c r="R69" s="37"/>
    </row>
    <row r="70" spans="1:18" ht="15.75" thickBot="1">
      <c r="A70" s="60" t="s">
        <v>109</v>
      </c>
      <c r="B70" s="446" t="s">
        <v>55</v>
      </c>
      <c r="C70" s="447"/>
      <c r="D70" s="448"/>
      <c r="E70" s="81"/>
      <c r="F70" s="31"/>
      <c r="G70" s="74"/>
      <c r="H70" s="33"/>
      <c r="I70" s="33"/>
      <c r="J70" s="33"/>
      <c r="K70" s="33">
        <f>0+J70</f>
        <v>0</v>
      </c>
      <c r="L70" s="33">
        <f>0+K70</f>
        <v>0</v>
      </c>
      <c r="M70" s="34">
        <f t="shared" si="7"/>
        <v>0</v>
      </c>
      <c r="N70" s="35">
        <f t="shared" si="7"/>
        <v>0</v>
      </c>
      <c r="O70" s="64">
        <v>0</v>
      </c>
      <c r="P70" s="65">
        <v>0</v>
      </c>
      <c r="Q70" s="1"/>
      <c r="R70" s="37"/>
    </row>
    <row r="71" spans="1:18" ht="23.25" customHeight="1" thickBot="1">
      <c r="A71" s="87" t="s">
        <v>110</v>
      </c>
      <c r="B71" s="443" t="s">
        <v>111</v>
      </c>
      <c r="C71" s="444"/>
      <c r="D71" s="445"/>
      <c r="E71" s="53">
        <f>E72+E73</f>
        <v>3000</v>
      </c>
      <c r="F71" s="73">
        <f>F72</f>
        <v>22500</v>
      </c>
      <c r="G71" s="75">
        <f>G72+G73</f>
        <v>13204</v>
      </c>
      <c r="H71" s="55"/>
      <c r="I71" s="55"/>
      <c r="J71" s="55"/>
      <c r="K71" s="55">
        <f>G71</f>
        <v>13204</v>
      </c>
      <c r="L71" s="55">
        <f>L72</f>
        <v>34766</v>
      </c>
      <c r="M71" s="56">
        <f t="shared" si="7"/>
        <v>-10204</v>
      </c>
      <c r="N71" s="70">
        <f t="shared" si="7"/>
        <v>-12266</v>
      </c>
      <c r="O71" s="58">
        <v>0</v>
      </c>
      <c r="P71" s="59">
        <v>0</v>
      </c>
      <c r="Q71" s="1"/>
      <c r="R71" s="1"/>
    </row>
    <row r="72" spans="1:18" ht="15.75" thickBot="1">
      <c r="A72" s="60" t="s">
        <v>107</v>
      </c>
      <c r="B72" s="405" t="s">
        <v>53</v>
      </c>
      <c r="C72" s="406"/>
      <c r="D72" s="407"/>
      <c r="E72" s="61">
        <v>3000</v>
      </c>
      <c r="F72" s="31">
        <f>19500+E72</f>
        <v>22500</v>
      </c>
      <c r="G72" s="74">
        <v>13204</v>
      </c>
      <c r="H72" s="33"/>
      <c r="I72" s="33"/>
      <c r="J72" s="33"/>
      <c r="K72" s="33">
        <f>G72</f>
        <v>13204</v>
      </c>
      <c r="L72" s="33">
        <f>21562+K72</f>
        <v>34766</v>
      </c>
      <c r="M72" s="34">
        <f aca="true" t="shared" si="8" ref="M72:N82">E72-K72</f>
        <v>-10204</v>
      </c>
      <c r="N72" s="35">
        <f t="shared" si="8"/>
        <v>-12266</v>
      </c>
      <c r="O72" s="64">
        <v>0</v>
      </c>
      <c r="P72" s="65">
        <v>0</v>
      </c>
      <c r="Q72" s="1"/>
      <c r="R72" s="1"/>
    </row>
    <row r="73" spans="1:18" ht="15.75" thickBot="1">
      <c r="A73" s="60" t="s">
        <v>109</v>
      </c>
      <c r="B73" s="405" t="s">
        <v>55</v>
      </c>
      <c r="C73" s="406"/>
      <c r="D73" s="407"/>
      <c r="E73" s="81"/>
      <c r="F73" s="31"/>
      <c r="G73" s="74"/>
      <c r="H73" s="33"/>
      <c r="I73" s="33"/>
      <c r="J73" s="33"/>
      <c r="K73" s="33">
        <f>0+J73</f>
        <v>0</v>
      </c>
      <c r="L73" s="33">
        <f>0+K73</f>
        <v>0</v>
      </c>
      <c r="M73" s="34">
        <f t="shared" si="8"/>
        <v>0</v>
      </c>
      <c r="N73" s="35">
        <f t="shared" si="8"/>
        <v>0</v>
      </c>
      <c r="O73" s="64">
        <v>0</v>
      </c>
      <c r="P73" s="65">
        <v>0</v>
      </c>
      <c r="Q73" s="1"/>
      <c r="R73" s="1"/>
    </row>
    <row r="74" spans="1:18" ht="45" customHeight="1" thickBot="1">
      <c r="A74" s="87" t="s">
        <v>112</v>
      </c>
      <c r="B74" s="443" t="s">
        <v>113</v>
      </c>
      <c r="C74" s="444"/>
      <c r="D74" s="445"/>
      <c r="E74" s="53">
        <f>E75</f>
        <v>5000</v>
      </c>
      <c r="F74" s="73">
        <f>F75+F76</f>
        <v>222000</v>
      </c>
      <c r="G74" s="75">
        <f>G75+G76+G77</f>
        <v>10969.2</v>
      </c>
      <c r="H74" s="55"/>
      <c r="I74" s="55">
        <f>I75+I76</f>
        <v>0</v>
      </c>
      <c r="J74" s="55"/>
      <c r="K74" s="55">
        <f>K75+K76+K77</f>
        <v>10969.2</v>
      </c>
      <c r="L74" s="55">
        <f>L75+L76+L77</f>
        <v>114352.98999999999</v>
      </c>
      <c r="M74" s="56">
        <f t="shared" si="8"/>
        <v>-5969.200000000001</v>
      </c>
      <c r="N74" s="70">
        <f t="shared" si="8"/>
        <v>107647.01000000001</v>
      </c>
      <c r="O74" s="58">
        <v>0</v>
      </c>
      <c r="P74" s="59">
        <v>0</v>
      </c>
      <c r="Q74" s="1"/>
      <c r="R74" s="1"/>
    </row>
    <row r="75" spans="1:18" ht="15.75" thickBot="1">
      <c r="A75" s="60" t="s">
        <v>114</v>
      </c>
      <c r="B75" s="405" t="s">
        <v>53</v>
      </c>
      <c r="C75" s="406"/>
      <c r="D75" s="407"/>
      <c r="E75" s="61">
        <v>5000</v>
      </c>
      <c r="F75" s="31">
        <f>217000+E75</f>
        <v>222000</v>
      </c>
      <c r="G75" s="74">
        <v>10969.2</v>
      </c>
      <c r="H75" s="33"/>
      <c r="I75" s="33"/>
      <c r="J75" s="33"/>
      <c r="K75" s="33">
        <f>G75</f>
        <v>10969.2</v>
      </c>
      <c r="L75" s="33">
        <f>103383.79+K75</f>
        <v>114352.98999999999</v>
      </c>
      <c r="M75" s="34">
        <f>E75-K75</f>
        <v>-5969.200000000001</v>
      </c>
      <c r="N75" s="35">
        <f t="shared" si="8"/>
        <v>107647.01000000001</v>
      </c>
      <c r="O75" s="64">
        <v>0</v>
      </c>
      <c r="P75" s="65">
        <v>0</v>
      </c>
      <c r="Q75" s="1"/>
      <c r="R75" s="1"/>
    </row>
    <row r="76" spans="1:18" ht="15.75" thickBot="1">
      <c r="A76" s="60" t="s">
        <v>115</v>
      </c>
      <c r="B76" s="435" t="s">
        <v>104</v>
      </c>
      <c r="C76" s="436"/>
      <c r="D76" s="490"/>
      <c r="E76" s="81"/>
      <c r="F76" s="31"/>
      <c r="G76" s="74"/>
      <c r="H76" s="33"/>
      <c r="I76" s="33"/>
      <c r="J76" s="33"/>
      <c r="K76" s="33">
        <f>I76</f>
        <v>0</v>
      </c>
      <c r="L76" s="33">
        <f>0+K76</f>
        <v>0</v>
      </c>
      <c r="M76" s="34">
        <f t="shared" si="8"/>
        <v>0</v>
      </c>
      <c r="N76" s="35">
        <f t="shared" si="8"/>
        <v>0</v>
      </c>
      <c r="O76" s="64">
        <v>0</v>
      </c>
      <c r="P76" s="65">
        <v>0</v>
      </c>
      <c r="Q76" s="1"/>
      <c r="R76" s="1"/>
    </row>
    <row r="77" spans="1:18" ht="15.75" thickBot="1">
      <c r="A77" s="60" t="s">
        <v>116</v>
      </c>
      <c r="B77" s="405" t="s">
        <v>55</v>
      </c>
      <c r="C77" s="406"/>
      <c r="D77" s="407"/>
      <c r="E77" s="61"/>
      <c r="F77" s="31"/>
      <c r="G77" s="74"/>
      <c r="H77" s="33"/>
      <c r="I77" s="33"/>
      <c r="J77" s="33"/>
      <c r="K77" s="33">
        <f>0+J77</f>
        <v>0</v>
      </c>
      <c r="L77" s="33">
        <f>0+K77</f>
        <v>0</v>
      </c>
      <c r="M77" s="34">
        <f t="shared" si="8"/>
        <v>0</v>
      </c>
      <c r="N77" s="35">
        <f t="shared" si="8"/>
        <v>0</v>
      </c>
      <c r="O77" s="64">
        <v>0</v>
      </c>
      <c r="P77" s="65">
        <v>0</v>
      </c>
      <c r="Q77" s="1"/>
      <c r="R77" s="1"/>
    </row>
    <row r="78" spans="1:18" ht="60" customHeight="1" thickBot="1">
      <c r="A78" s="69" t="s">
        <v>117</v>
      </c>
      <c r="B78" s="408" t="s">
        <v>118</v>
      </c>
      <c r="C78" s="409"/>
      <c r="D78" s="410"/>
      <c r="E78" s="53">
        <f>E79</f>
        <v>1500</v>
      </c>
      <c r="F78" s="73">
        <f>F79</f>
        <v>3500</v>
      </c>
      <c r="G78" s="75">
        <f>G79</f>
        <v>0</v>
      </c>
      <c r="H78" s="55"/>
      <c r="I78" s="55"/>
      <c r="J78" s="55"/>
      <c r="K78" s="55">
        <f>0+J78+G78</f>
        <v>0</v>
      </c>
      <c r="L78" s="55">
        <f>L79</f>
        <v>1973.5</v>
      </c>
      <c r="M78" s="56">
        <f t="shared" si="8"/>
        <v>1500</v>
      </c>
      <c r="N78" s="70">
        <f t="shared" si="8"/>
        <v>1526.5</v>
      </c>
      <c r="O78" s="58">
        <v>0</v>
      </c>
      <c r="P78" s="59">
        <v>0</v>
      </c>
      <c r="Q78" s="1"/>
      <c r="R78" s="1"/>
    </row>
    <row r="79" spans="1:18" ht="14.25" customHeight="1" thickBot="1">
      <c r="A79" s="60" t="s">
        <v>119</v>
      </c>
      <c r="B79" s="405" t="s">
        <v>53</v>
      </c>
      <c r="C79" s="406"/>
      <c r="D79" s="407"/>
      <c r="E79" s="81">
        <v>1500</v>
      </c>
      <c r="F79" s="31">
        <f>2000+E79</f>
        <v>3500</v>
      </c>
      <c r="G79" s="74"/>
      <c r="H79" s="33"/>
      <c r="I79" s="33"/>
      <c r="J79" s="33"/>
      <c r="K79" s="33">
        <f>0+J79+G79</f>
        <v>0</v>
      </c>
      <c r="L79" s="33">
        <f>1973.5+K79</f>
        <v>1973.5</v>
      </c>
      <c r="M79" s="34">
        <f>E79-K79</f>
        <v>1500</v>
      </c>
      <c r="N79" s="35">
        <f t="shared" si="8"/>
        <v>1526.5</v>
      </c>
      <c r="O79" s="64">
        <v>0</v>
      </c>
      <c r="P79" s="65">
        <v>0</v>
      </c>
      <c r="Q79" s="1"/>
      <c r="R79" s="1"/>
    </row>
    <row r="80" spans="1:18" ht="23.25" customHeight="1" thickBot="1">
      <c r="A80" s="69" t="s">
        <v>120</v>
      </c>
      <c r="B80" s="408" t="s">
        <v>121</v>
      </c>
      <c r="C80" s="409"/>
      <c r="D80" s="410"/>
      <c r="E80" s="53">
        <f>E81</f>
        <v>0</v>
      </c>
      <c r="F80" s="73">
        <f>F81</f>
        <v>18500</v>
      </c>
      <c r="G80" s="75">
        <f>G81</f>
        <v>0</v>
      </c>
      <c r="H80" s="55"/>
      <c r="I80" s="55"/>
      <c r="J80" s="55"/>
      <c r="K80" s="55">
        <f>0+J80+G80</f>
        <v>0</v>
      </c>
      <c r="L80" s="55">
        <f>L81</f>
        <v>12592.98</v>
      </c>
      <c r="M80" s="56">
        <f t="shared" si="8"/>
        <v>0</v>
      </c>
      <c r="N80" s="70">
        <f t="shared" si="8"/>
        <v>5907.02</v>
      </c>
      <c r="O80" s="58">
        <v>0</v>
      </c>
      <c r="P80" s="59">
        <v>0</v>
      </c>
      <c r="Q80" s="1"/>
      <c r="R80" s="1"/>
    </row>
    <row r="81" spans="1:18" ht="15.75" thickBot="1">
      <c r="A81" s="60" t="s">
        <v>122</v>
      </c>
      <c r="B81" s="411" t="s">
        <v>53</v>
      </c>
      <c r="C81" s="412"/>
      <c r="D81" s="413"/>
      <c r="E81" s="81">
        <v>0</v>
      </c>
      <c r="F81" s="31">
        <f>18500+E81</f>
        <v>18500</v>
      </c>
      <c r="G81" s="89"/>
      <c r="H81" s="90"/>
      <c r="I81" s="91"/>
      <c r="J81" s="90"/>
      <c r="K81" s="33">
        <f>0+J81+G81</f>
        <v>0</v>
      </c>
      <c r="L81" s="33">
        <f>12592.98+L82</f>
        <v>12592.98</v>
      </c>
      <c r="M81" s="34">
        <f t="shared" si="8"/>
        <v>0</v>
      </c>
      <c r="N81" s="35">
        <f t="shared" si="8"/>
        <v>5907.02</v>
      </c>
      <c r="O81" s="64">
        <v>0</v>
      </c>
      <c r="P81" s="65">
        <v>0</v>
      </c>
      <c r="Q81" s="1"/>
      <c r="R81" s="1"/>
    </row>
    <row r="82" spans="1:18" ht="15.75" thickBot="1">
      <c r="A82" s="60" t="s">
        <v>123</v>
      </c>
      <c r="B82" s="435" t="s">
        <v>55</v>
      </c>
      <c r="C82" s="436"/>
      <c r="D82" s="490"/>
      <c r="E82" s="81"/>
      <c r="F82" s="33"/>
      <c r="G82" s="74"/>
      <c r="H82" s="92"/>
      <c r="I82" s="33"/>
      <c r="J82" s="92"/>
      <c r="K82" s="33">
        <f>0+J82</f>
        <v>0</v>
      </c>
      <c r="L82" s="33">
        <v>0</v>
      </c>
      <c r="M82" s="34">
        <f>E82-K82</f>
        <v>0</v>
      </c>
      <c r="N82" s="35">
        <f t="shared" si="8"/>
        <v>0</v>
      </c>
      <c r="O82" s="64">
        <v>0</v>
      </c>
      <c r="P82" s="65">
        <v>0</v>
      </c>
      <c r="Q82" s="1"/>
      <c r="R82" s="1"/>
    </row>
    <row r="83" spans="1:18" ht="15.75" thickBot="1">
      <c r="A83" s="449"/>
      <c r="B83" s="364" t="s">
        <v>14</v>
      </c>
      <c r="C83" s="365"/>
      <c r="D83" s="366"/>
      <c r="E83" s="401" t="s">
        <v>24</v>
      </c>
      <c r="F83" s="403" t="s">
        <v>25</v>
      </c>
      <c r="G83" s="338" t="s">
        <v>44</v>
      </c>
      <c r="H83" s="321"/>
      <c r="I83" s="321"/>
      <c r="J83" s="321"/>
      <c r="K83" s="339"/>
      <c r="L83" s="340" t="s">
        <v>16</v>
      </c>
      <c r="M83" s="340" t="s">
        <v>17</v>
      </c>
      <c r="N83" s="340" t="s">
        <v>18</v>
      </c>
      <c r="O83" s="340" t="s">
        <v>19</v>
      </c>
      <c r="P83" s="340" t="s">
        <v>20</v>
      </c>
      <c r="Q83" s="1"/>
      <c r="R83" s="1"/>
    </row>
    <row r="84" spans="1:18" ht="69" customHeight="1" thickBot="1">
      <c r="A84" s="450"/>
      <c r="B84" s="367"/>
      <c r="C84" s="368"/>
      <c r="D84" s="369"/>
      <c r="E84" s="402"/>
      <c r="F84" s="404"/>
      <c r="G84" s="247" t="s">
        <v>45</v>
      </c>
      <c r="H84" s="247" t="s">
        <v>46</v>
      </c>
      <c r="I84" s="247" t="s">
        <v>47</v>
      </c>
      <c r="J84" s="7" t="s">
        <v>124</v>
      </c>
      <c r="K84" s="8" t="s">
        <v>27</v>
      </c>
      <c r="L84" s="341"/>
      <c r="M84" s="341"/>
      <c r="N84" s="341"/>
      <c r="O84" s="341"/>
      <c r="P84" s="341"/>
      <c r="Q84" s="1"/>
      <c r="R84" s="1" t="s">
        <v>216</v>
      </c>
    </row>
    <row r="85" spans="1:18" ht="15.75" thickBot="1">
      <c r="A85" s="60"/>
      <c r="B85" s="342">
        <v>1</v>
      </c>
      <c r="C85" s="343"/>
      <c r="D85" s="344"/>
      <c r="E85" s="17" t="s">
        <v>22</v>
      </c>
      <c r="F85" s="247">
        <v>3</v>
      </c>
      <c r="G85" s="247">
        <v>4</v>
      </c>
      <c r="H85" s="247">
        <v>5</v>
      </c>
      <c r="I85" s="7">
        <v>6</v>
      </c>
      <c r="J85" s="7">
        <v>7</v>
      </c>
      <c r="K85" s="48">
        <v>8</v>
      </c>
      <c r="L85" s="251">
        <v>9</v>
      </c>
      <c r="M85" s="7">
        <v>10</v>
      </c>
      <c r="N85" s="251">
        <v>11</v>
      </c>
      <c r="O85" s="7">
        <v>12</v>
      </c>
      <c r="P85" s="251">
        <v>13</v>
      </c>
      <c r="Q85" s="1"/>
      <c r="R85" s="1"/>
    </row>
    <row r="86" spans="1:18" ht="46.5" customHeight="1" thickBot="1">
      <c r="A86" s="51" t="s">
        <v>125</v>
      </c>
      <c r="B86" s="408" t="s">
        <v>126</v>
      </c>
      <c r="C86" s="409"/>
      <c r="D86" s="410"/>
      <c r="E86" s="53">
        <f>E87</f>
        <v>29380</v>
      </c>
      <c r="F86" s="73">
        <f>F87+F88+F89+F90</f>
        <v>274420</v>
      </c>
      <c r="G86" s="53">
        <f>G87+G88+G89+G90</f>
        <v>32204.899999999998</v>
      </c>
      <c r="H86" s="55"/>
      <c r="I86" s="55">
        <f>I87+I88+I89</f>
        <v>0</v>
      </c>
      <c r="J86" s="55"/>
      <c r="K86" s="93">
        <f>K87+K88+K89+K90</f>
        <v>32204.899999999998</v>
      </c>
      <c r="L86" s="55">
        <f>L87+L88+L89+L90</f>
        <v>250154.58</v>
      </c>
      <c r="M86" s="56">
        <f aca="true" t="shared" si="9" ref="M86:N101">E86-K86</f>
        <v>-2824.899999999998</v>
      </c>
      <c r="N86" s="70">
        <f t="shared" si="9"/>
        <v>24265.420000000013</v>
      </c>
      <c r="O86" s="58">
        <v>0</v>
      </c>
      <c r="P86" s="59">
        <v>0</v>
      </c>
      <c r="Q86" s="37"/>
      <c r="R86" s="1"/>
    </row>
    <row r="87" spans="1:18" ht="15.75" thickBot="1">
      <c r="A87" s="60" t="s">
        <v>127</v>
      </c>
      <c r="B87" s="405" t="s">
        <v>53</v>
      </c>
      <c r="C87" s="406"/>
      <c r="D87" s="407"/>
      <c r="E87" s="61">
        <f>E91+E92+E94+E95+E96+E98+E97+E93</f>
        <v>29380</v>
      </c>
      <c r="F87" s="31">
        <f>245040+E87</f>
        <v>274420</v>
      </c>
      <c r="G87" s="45">
        <f>G92+G94+G95+G96+G91+G98+G93</f>
        <v>32204.899999999998</v>
      </c>
      <c r="H87" s="33"/>
      <c r="I87" s="33"/>
      <c r="J87" s="33"/>
      <c r="K87" s="94">
        <f>G87</f>
        <v>32204.899999999998</v>
      </c>
      <c r="L87" s="33">
        <f>L91+L92+L94+L95+L96+L97+L98+L93</f>
        <v>250154.58</v>
      </c>
      <c r="M87" s="34">
        <f t="shared" si="9"/>
        <v>-2824.899999999998</v>
      </c>
      <c r="N87" s="35">
        <f t="shared" si="9"/>
        <v>24265.420000000013</v>
      </c>
      <c r="O87" s="64">
        <v>0</v>
      </c>
      <c r="P87" s="65">
        <v>0</v>
      </c>
      <c r="Q87" s="37"/>
      <c r="R87" s="1"/>
    </row>
    <row r="88" spans="1:18" ht="15.75" thickBot="1">
      <c r="A88" s="60" t="s">
        <v>128</v>
      </c>
      <c r="B88" s="457" t="s">
        <v>51</v>
      </c>
      <c r="C88" s="458"/>
      <c r="D88" s="459"/>
      <c r="E88" s="61"/>
      <c r="F88" s="31"/>
      <c r="G88" s="45"/>
      <c r="H88" s="33"/>
      <c r="I88" s="33"/>
      <c r="J88" s="33"/>
      <c r="K88" s="94">
        <f aca="true" t="shared" si="10" ref="K88:K97">G88</f>
        <v>0</v>
      </c>
      <c r="L88" s="33"/>
      <c r="M88" s="34">
        <f t="shared" si="9"/>
        <v>0</v>
      </c>
      <c r="N88" s="35">
        <f t="shared" si="9"/>
        <v>0</v>
      </c>
      <c r="O88" s="64">
        <v>0</v>
      </c>
      <c r="P88" s="65">
        <v>0</v>
      </c>
      <c r="Q88" s="37"/>
      <c r="R88" s="1"/>
    </row>
    <row r="89" spans="1:18" ht="28.5" customHeight="1" thickBot="1">
      <c r="A89" s="60" t="s">
        <v>129</v>
      </c>
      <c r="B89" s="405" t="s">
        <v>104</v>
      </c>
      <c r="C89" s="406"/>
      <c r="D89" s="407"/>
      <c r="E89" s="61"/>
      <c r="F89" s="31"/>
      <c r="G89" s="45"/>
      <c r="H89" s="33"/>
      <c r="I89" s="33">
        <f>I95</f>
        <v>0</v>
      </c>
      <c r="J89" s="33"/>
      <c r="K89" s="94">
        <f>I89</f>
        <v>0</v>
      </c>
      <c r="L89" s="33">
        <f>0+K89</f>
        <v>0</v>
      </c>
      <c r="M89" s="34">
        <f t="shared" si="9"/>
        <v>0</v>
      </c>
      <c r="N89" s="35">
        <f t="shared" si="9"/>
        <v>0</v>
      </c>
      <c r="O89" s="64">
        <v>0</v>
      </c>
      <c r="P89" s="65">
        <v>0</v>
      </c>
      <c r="Q89" s="37"/>
      <c r="R89" s="1"/>
    </row>
    <row r="90" spans="1:18" ht="15.75" thickBot="1">
      <c r="A90" s="60" t="s">
        <v>130</v>
      </c>
      <c r="B90" s="405" t="s">
        <v>55</v>
      </c>
      <c r="C90" s="406"/>
      <c r="D90" s="407"/>
      <c r="E90" s="61"/>
      <c r="F90" s="31"/>
      <c r="G90" s="45"/>
      <c r="H90" s="33"/>
      <c r="I90" s="33"/>
      <c r="J90" s="33"/>
      <c r="K90" s="94">
        <f t="shared" si="10"/>
        <v>0</v>
      </c>
      <c r="L90" s="33">
        <f>0+K90</f>
        <v>0</v>
      </c>
      <c r="M90" s="34">
        <f t="shared" si="9"/>
        <v>0</v>
      </c>
      <c r="N90" s="35">
        <f t="shared" si="9"/>
        <v>0</v>
      </c>
      <c r="O90" s="64">
        <v>0</v>
      </c>
      <c r="P90" s="65">
        <v>0</v>
      </c>
      <c r="Q90" s="37"/>
      <c r="R90" s="80">
        <f>L91+L92+L93+L94+L95+L96+L97+L98</f>
        <v>250154.58</v>
      </c>
    </row>
    <row r="91" spans="1:18" ht="15.75" thickBot="1">
      <c r="A91" s="60" t="s">
        <v>131</v>
      </c>
      <c r="B91" s="420" t="s">
        <v>132</v>
      </c>
      <c r="C91" s="421"/>
      <c r="D91" s="422"/>
      <c r="E91" s="152">
        <v>3150</v>
      </c>
      <c r="F91" s="31">
        <f>22050+E91</f>
        <v>25200</v>
      </c>
      <c r="G91" s="45">
        <v>3000</v>
      </c>
      <c r="H91" s="74"/>
      <c r="I91" s="74"/>
      <c r="J91" s="74"/>
      <c r="K91" s="94">
        <f t="shared" si="10"/>
        <v>3000</v>
      </c>
      <c r="L91" s="33">
        <f>24000+K91</f>
        <v>27000</v>
      </c>
      <c r="M91" s="34">
        <f t="shared" si="9"/>
        <v>150</v>
      </c>
      <c r="N91" s="35">
        <f t="shared" si="9"/>
        <v>-1800</v>
      </c>
      <c r="O91" s="64">
        <v>0</v>
      </c>
      <c r="P91" s="65">
        <v>0</v>
      </c>
      <c r="Q91" s="1"/>
      <c r="R91" s="37">
        <f>L87+L88+L89+L90</f>
        <v>250154.58</v>
      </c>
    </row>
    <row r="92" spans="1:18" ht="30.75" customHeight="1" thickBot="1">
      <c r="A92" s="60" t="s">
        <v>133</v>
      </c>
      <c r="B92" s="414" t="s">
        <v>134</v>
      </c>
      <c r="C92" s="415"/>
      <c r="D92" s="416"/>
      <c r="E92" s="152">
        <v>4600</v>
      </c>
      <c r="F92" s="31">
        <f>32200+E92</f>
        <v>36800</v>
      </c>
      <c r="G92" s="45"/>
      <c r="H92" s="74"/>
      <c r="I92" s="74"/>
      <c r="J92" s="74"/>
      <c r="K92" s="94">
        <f>G92</f>
        <v>0</v>
      </c>
      <c r="L92" s="33">
        <f>31200+K92</f>
        <v>31200</v>
      </c>
      <c r="M92" s="34">
        <f t="shared" si="9"/>
        <v>4600</v>
      </c>
      <c r="N92" s="35">
        <f t="shared" si="9"/>
        <v>5600</v>
      </c>
      <c r="O92" s="64">
        <v>0</v>
      </c>
      <c r="P92" s="65">
        <v>0</v>
      </c>
      <c r="Q92" s="1"/>
      <c r="R92" s="1"/>
    </row>
    <row r="93" spans="1:18" ht="29.25" customHeight="1" thickBot="1">
      <c r="A93" s="60" t="s">
        <v>135</v>
      </c>
      <c r="B93" s="420" t="s">
        <v>136</v>
      </c>
      <c r="C93" s="421"/>
      <c r="D93" s="422"/>
      <c r="E93" s="152"/>
      <c r="F93" s="31">
        <f>0+E93</f>
        <v>0</v>
      </c>
      <c r="G93" s="45">
        <v>12301.32</v>
      </c>
      <c r="H93" s="74"/>
      <c r="I93" s="74"/>
      <c r="J93" s="74"/>
      <c r="K93" s="94">
        <f t="shared" si="10"/>
        <v>12301.32</v>
      </c>
      <c r="L93" s="33">
        <f>0+K93</f>
        <v>12301.32</v>
      </c>
      <c r="M93" s="34">
        <f t="shared" si="9"/>
        <v>-12301.32</v>
      </c>
      <c r="N93" s="35">
        <f t="shared" si="9"/>
        <v>-12301.32</v>
      </c>
      <c r="O93" s="64">
        <v>0</v>
      </c>
      <c r="P93" s="65">
        <v>0</v>
      </c>
      <c r="Q93" s="1"/>
      <c r="R93" s="1"/>
    </row>
    <row r="94" spans="1:18" ht="32.25" customHeight="1" thickBot="1">
      <c r="A94" s="60" t="s">
        <v>137</v>
      </c>
      <c r="B94" s="420" t="s">
        <v>138</v>
      </c>
      <c r="C94" s="421"/>
      <c r="D94" s="422"/>
      <c r="E94" s="152">
        <v>1420</v>
      </c>
      <c r="F94" s="31">
        <f>9940+E94</f>
        <v>11360</v>
      </c>
      <c r="G94" s="45">
        <v>2460</v>
      </c>
      <c r="H94" s="74"/>
      <c r="I94" s="74"/>
      <c r="J94" s="74"/>
      <c r="K94" s="94">
        <f t="shared" si="10"/>
        <v>2460</v>
      </c>
      <c r="L94" s="33">
        <f>8225+K94</f>
        <v>10685</v>
      </c>
      <c r="M94" s="34">
        <f t="shared" si="9"/>
        <v>-1040</v>
      </c>
      <c r="N94" s="35">
        <f t="shared" si="9"/>
        <v>675</v>
      </c>
      <c r="O94" s="64">
        <v>0</v>
      </c>
      <c r="P94" s="65">
        <v>0</v>
      </c>
      <c r="Q94" s="1"/>
      <c r="R94" s="1"/>
    </row>
    <row r="95" spans="1:18" ht="15.75" thickBot="1">
      <c r="A95" s="60" t="s">
        <v>139</v>
      </c>
      <c r="B95" s="420" t="s">
        <v>140</v>
      </c>
      <c r="C95" s="421"/>
      <c r="D95" s="422"/>
      <c r="E95" s="152">
        <v>7500</v>
      </c>
      <c r="F95" s="31">
        <f>46500+E95</f>
        <v>54000</v>
      </c>
      <c r="G95" s="45">
        <v>4971.46</v>
      </c>
      <c r="H95" s="74"/>
      <c r="I95" s="74"/>
      <c r="J95" s="74"/>
      <c r="K95" s="94">
        <f>G95+I95</f>
        <v>4971.46</v>
      </c>
      <c r="L95" s="33">
        <f>46610.5+K95</f>
        <v>51581.96</v>
      </c>
      <c r="M95" s="34">
        <f t="shared" si="9"/>
        <v>2528.54</v>
      </c>
      <c r="N95" s="35">
        <f t="shared" si="9"/>
        <v>2418.040000000001</v>
      </c>
      <c r="O95" s="64">
        <v>0</v>
      </c>
      <c r="P95" s="65">
        <v>0</v>
      </c>
      <c r="Q95" s="1"/>
      <c r="R95" s="71">
        <f>F91+F92+F93+F94+F95+F96+F97+F98</f>
        <v>235240</v>
      </c>
    </row>
    <row r="96" spans="1:16" ht="15.75" thickBot="1">
      <c r="A96" s="60" t="s">
        <v>141</v>
      </c>
      <c r="B96" s="491" t="s">
        <v>142</v>
      </c>
      <c r="C96" s="492"/>
      <c r="D96" s="493"/>
      <c r="E96" s="152">
        <v>2910</v>
      </c>
      <c r="F96" s="31">
        <f>20370+E96</f>
        <v>23280</v>
      </c>
      <c r="G96" s="45">
        <v>3100</v>
      </c>
      <c r="H96" s="74"/>
      <c r="I96" s="74"/>
      <c r="J96" s="74"/>
      <c r="K96" s="94">
        <f t="shared" si="10"/>
        <v>3100</v>
      </c>
      <c r="L96" s="33">
        <f>20844+K96</f>
        <v>23944</v>
      </c>
      <c r="M96" s="34">
        <f t="shared" si="9"/>
        <v>-190</v>
      </c>
      <c r="N96" s="35">
        <f t="shared" si="9"/>
        <v>-664</v>
      </c>
      <c r="O96" s="64">
        <v>0</v>
      </c>
      <c r="P96" s="65">
        <v>0</v>
      </c>
    </row>
    <row r="97" spans="1:16" ht="30" customHeight="1" thickBot="1">
      <c r="A97" s="60" t="s">
        <v>143</v>
      </c>
      <c r="B97" s="420" t="s">
        <v>144</v>
      </c>
      <c r="C97" s="421"/>
      <c r="D97" s="422"/>
      <c r="E97" s="152"/>
      <c r="F97" s="31">
        <f>16000+E97</f>
        <v>16000</v>
      </c>
      <c r="G97" s="45"/>
      <c r="H97" s="74"/>
      <c r="I97" s="74"/>
      <c r="J97" s="74"/>
      <c r="K97" s="94">
        <f t="shared" si="10"/>
        <v>0</v>
      </c>
      <c r="L97" s="33">
        <f>5000+K97</f>
        <v>5000</v>
      </c>
      <c r="M97" s="34">
        <f t="shared" si="9"/>
        <v>0</v>
      </c>
      <c r="N97" s="35">
        <f t="shared" si="9"/>
        <v>11000</v>
      </c>
      <c r="O97" s="64">
        <v>0</v>
      </c>
      <c r="P97" s="65">
        <v>0</v>
      </c>
    </row>
    <row r="98" spans="1:16" ht="15.75" thickBot="1">
      <c r="A98" s="60" t="s">
        <v>145</v>
      </c>
      <c r="B98" s="420" t="s">
        <v>146</v>
      </c>
      <c r="C98" s="421"/>
      <c r="D98" s="422"/>
      <c r="E98" s="152">
        <v>9800</v>
      </c>
      <c r="F98" s="31">
        <f>58800+E98</f>
        <v>68600</v>
      </c>
      <c r="G98" s="45">
        <v>6372.12</v>
      </c>
      <c r="H98" s="74"/>
      <c r="I98" s="74"/>
      <c r="J98" s="74"/>
      <c r="K98" s="94">
        <f>G98</f>
        <v>6372.12</v>
      </c>
      <c r="L98" s="33">
        <f>82070.18+K98</f>
        <v>88442.29999999999</v>
      </c>
      <c r="M98" s="34">
        <f t="shared" si="9"/>
        <v>3427.88</v>
      </c>
      <c r="N98" s="35">
        <f t="shared" si="9"/>
        <v>-19842.29999999999</v>
      </c>
      <c r="O98" s="64">
        <v>0</v>
      </c>
      <c r="P98" s="65">
        <v>0</v>
      </c>
    </row>
    <row r="99" spans="1:18" ht="30" customHeight="1" thickBot="1">
      <c r="A99" s="86" t="s">
        <v>147</v>
      </c>
      <c r="B99" s="423" t="s">
        <v>148</v>
      </c>
      <c r="C99" s="424"/>
      <c r="D99" s="425"/>
      <c r="E99" s="73">
        <f>E100+E101</f>
        <v>2200</v>
      </c>
      <c r="F99" s="73">
        <f>F100+F101+F102+F103</f>
        <v>577100</v>
      </c>
      <c r="G99" s="73">
        <f>G100+G102+G103</f>
        <v>30195.68</v>
      </c>
      <c r="H99" s="75">
        <f>H101</f>
        <v>0</v>
      </c>
      <c r="I99" s="55">
        <f>I102</f>
        <v>0</v>
      </c>
      <c r="J99" s="55"/>
      <c r="K99" s="73">
        <f>G99+H99+I99+J99</f>
        <v>30195.68</v>
      </c>
      <c r="L99" s="55">
        <f>L100+L101+L102+L103</f>
        <v>512776.88</v>
      </c>
      <c r="M99" s="56">
        <f t="shared" si="9"/>
        <v>-27995.68</v>
      </c>
      <c r="N99" s="70">
        <f t="shared" si="9"/>
        <v>64323.119999999995</v>
      </c>
      <c r="O99" s="58">
        <v>0</v>
      </c>
      <c r="P99" s="59">
        <v>0</v>
      </c>
      <c r="R99" s="95">
        <f>L100+L102-L99</f>
        <v>0</v>
      </c>
    </row>
    <row r="100" spans="1:18" ht="15.75" thickBot="1">
      <c r="A100" s="60" t="s">
        <v>149</v>
      </c>
      <c r="B100" s="405" t="s">
        <v>53</v>
      </c>
      <c r="C100" s="406"/>
      <c r="D100" s="407"/>
      <c r="E100" s="61">
        <f>E104+E105+E112+E117+E129+E111+E126+E113+E118</f>
        <v>2200</v>
      </c>
      <c r="F100" s="31">
        <f>574900+E100</f>
        <v>577100</v>
      </c>
      <c r="G100" s="74">
        <f>G111++G105+G112+G116+G118+G126+G117+G104</f>
        <v>30195.68</v>
      </c>
      <c r="H100" s="74"/>
      <c r="I100" s="33"/>
      <c r="J100" s="33"/>
      <c r="K100" s="94">
        <f>G100</f>
        <v>30195.68</v>
      </c>
      <c r="L100" s="33">
        <f>482581.2+K100</f>
        <v>512776.88</v>
      </c>
      <c r="M100" s="34">
        <f t="shared" si="9"/>
        <v>-27995.68</v>
      </c>
      <c r="N100" s="35">
        <f t="shared" si="9"/>
        <v>64323.119999999995</v>
      </c>
      <c r="O100" s="64">
        <v>0</v>
      </c>
      <c r="P100" s="65">
        <v>0</v>
      </c>
      <c r="R100" s="95"/>
    </row>
    <row r="101" spans="1:18" ht="15.75" thickBot="1">
      <c r="A101" s="60" t="s">
        <v>150</v>
      </c>
      <c r="B101" s="457" t="s">
        <v>51</v>
      </c>
      <c r="C101" s="458"/>
      <c r="D101" s="459"/>
      <c r="E101" s="61">
        <f>E127</f>
        <v>0</v>
      </c>
      <c r="F101" s="31">
        <f>0+E101</f>
        <v>0</v>
      </c>
      <c r="G101" s="74"/>
      <c r="H101" s="74">
        <f>H127</f>
        <v>0</v>
      </c>
      <c r="I101" s="33"/>
      <c r="J101" s="33"/>
      <c r="K101" s="94">
        <f>H101</f>
        <v>0</v>
      </c>
      <c r="L101" s="33">
        <f>0+K101</f>
        <v>0</v>
      </c>
      <c r="M101" s="34">
        <f t="shared" si="9"/>
        <v>0</v>
      </c>
      <c r="N101" s="35">
        <f t="shared" si="9"/>
        <v>0</v>
      </c>
      <c r="O101" s="64">
        <v>0</v>
      </c>
      <c r="P101" s="65">
        <v>0</v>
      </c>
      <c r="R101" s="96"/>
    </row>
    <row r="102" spans="1:16" ht="15.75" thickBot="1">
      <c r="A102" s="60" t="s">
        <v>151</v>
      </c>
      <c r="B102" s="405" t="s">
        <v>104</v>
      </c>
      <c r="C102" s="406"/>
      <c r="D102" s="407"/>
      <c r="E102" s="61"/>
      <c r="F102" s="31"/>
      <c r="G102" s="31"/>
      <c r="H102" s="74"/>
      <c r="I102" s="33">
        <f>I126+I115+I129</f>
        <v>0</v>
      </c>
      <c r="J102" s="33"/>
      <c r="K102" s="94">
        <f>I102</f>
        <v>0</v>
      </c>
      <c r="L102" s="33">
        <f>0+K102</f>
        <v>0</v>
      </c>
      <c r="M102" s="34">
        <f aca="true" t="shared" si="11" ref="M102:N118">E102-K102</f>
        <v>0</v>
      </c>
      <c r="N102" s="35">
        <f t="shared" si="11"/>
        <v>0</v>
      </c>
      <c r="O102" s="64">
        <v>0</v>
      </c>
      <c r="P102" s="65">
        <v>0</v>
      </c>
    </row>
    <row r="103" spans="1:18" ht="15.75" thickBot="1">
      <c r="A103" s="60" t="s">
        <v>152</v>
      </c>
      <c r="B103" s="457" t="s">
        <v>55</v>
      </c>
      <c r="C103" s="458"/>
      <c r="D103" s="459"/>
      <c r="E103" s="61"/>
      <c r="F103" s="31"/>
      <c r="G103" s="74"/>
      <c r="H103" s="74"/>
      <c r="I103" s="33"/>
      <c r="J103" s="33"/>
      <c r="K103" s="94">
        <f>G103</f>
        <v>0</v>
      </c>
      <c r="L103" s="33">
        <f>0+K103</f>
        <v>0</v>
      </c>
      <c r="M103" s="34">
        <f t="shared" si="11"/>
        <v>0</v>
      </c>
      <c r="N103" s="35">
        <f t="shared" si="11"/>
        <v>0</v>
      </c>
      <c r="O103" s="64">
        <v>0</v>
      </c>
      <c r="P103" s="65">
        <v>0</v>
      </c>
      <c r="R103" s="95">
        <f>L104+L111+L112+L116+L117+L129</f>
        <v>81773.16999999998</v>
      </c>
    </row>
    <row r="104" spans="1:16" ht="29.25" customHeight="1" thickBot="1">
      <c r="A104" s="60" t="s">
        <v>153</v>
      </c>
      <c r="B104" s="460" t="s">
        <v>154</v>
      </c>
      <c r="C104" s="461"/>
      <c r="D104" s="462"/>
      <c r="E104" s="31"/>
      <c r="F104" s="31">
        <f>40000+E104</f>
        <v>40000</v>
      </c>
      <c r="G104" s="74"/>
      <c r="H104" s="74"/>
      <c r="I104" s="74"/>
      <c r="J104" s="74"/>
      <c r="K104" s="94">
        <f aca="true" t="shared" si="12" ref="K104:K118">G104</f>
        <v>0</v>
      </c>
      <c r="L104" s="33">
        <f>7600+K104</f>
        <v>7600</v>
      </c>
      <c r="M104" s="34">
        <f t="shared" si="11"/>
        <v>0</v>
      </c>
      <c r="N104" s="35">
        <f t="shared" si="11"/>
        <v>32400</v>
      </c>
      <c r="O104" s="64">
        <v>0</v>
      </c>
      <c r="P104" s="65">
        <v>0</v>
      </c>
    </row>
    <row r="105" spans="1:16" ht="32.25" customHeight="1" thickBot="1">
      <c r="A105" s="60" t="s">
        <v>155</v>
      </c>
      <c r="B105" s="420" t="s">
        <v>156</v>
      </c>
      <c r="C105" s="421"/>
      <c r="D105" s="422"/>
      <c r="E105" s="31"/>
      <c r="F105" s="31">
        <f>11200+E105</f>
        <v>11200</v>
      </c>
      <c r="G105" s="74"/>
      <c r="H105" s="74"/>
      <c r="I105" s="74"/>
      <c r="J105" s="74"/>
      <c r="K105" s="94">
        <f t="shared" si="12"/>
        <v>0</v>
      </c>
      <c r="L105" s="33">
        <f>2800+K105</f>
        <v>2800</v>
      </c>
      <c r="M105" s="34">
        <f t="shared" si="11"/>
        <v>0</v>
      </c>
      <c r="N105" s="35">
        <f t="shared" si="11"/>
        <v>8400</v>
      </c>
      <c r="O105" s="64">
        <v>0</v>
      </c>
      <c r="P105" s="65">
        <v>0</v>
      </c>
    </row>
    <row r="106" spans="1:16" ht="28.5" customHeight="1" thickBot="1">
      <c r="A106" s="60" t="s">
        <v>157</v>
      </c>
      <c r="B106" s="466" t="s">
        <v>158</v>
      </c>
      <c r="C106" s="467"/>
      <c r="D106" s="468"/>
      <c r="E106" s="31"/>
      <c r="F106" s="31"/>
      <c r="G106" s="74"/>
      <c r="H106" s="74"/>
      <c r="I106" s="74"/>
      <c r="J106" s="74"/>
      <c r="K106" s="94">
        <f t="shared" si="12"/>
        <v>0</v>
      </c>
      <c r="L106" s="33">
        <f>0+K106</f>
        <v>0</v>
      </c>
      <c r="M106" s="34">
        <f t="shared" si="11"/>
        <v>0</v>
      </c>
      <c r="N106" s="35">
        <f t="shared" si="11"/>
        <v>0</v>
      </c>
      <c r="O106" s="64">
        <v>0</v>
      </c>
      <c r="P106" s="65">
        <v>0</v>
      </c>
    </row>
    <row r="107" spans="1:16" ht="21" customHeight="1" thickBot="1">
      <c r="A107" s="60" t="s">
        <v>159</v>
      </c>
      <c r="B107" s="420" t="s">
        <v>160</v>
      </c>
      <c r="C107" s="421"/>
      <c r="D107" s="422"/>
      <c r="E107" s="31"/>
      <c r="F107" s="31"/>
      <c r="G107" s="74"/>
      <c r="H107" s="74"/>
      <c r="I107" s="74"/>
      <c r="J107" s="74"/>
      <c r="K107" s="94">
        <f t="shared" si="12"/>
        <v>0</v>
      </c>
      <c r="L107" s="33">
        <f>0+K107</f>
        <v>0</v>
      </c>
      <c r="M107" s="34">
        <f t="shared" si="11"/>
        <v>0</v>
      </c>
      <c r="N107" s="35">
        <f t="shared" si="11"/>
        <v>0</v>
      </c>
      <c r="O107" s="64">
        <v>0</v>
      </c>
      <c r="P107" s="65">
        <v>0</v>
      </c>
    </row>
    <row r="108" spans="1:18" ht="35.25" customHeight="1" thickBot="1">
      <c r="A108" s="60" t="s">
        <v>161</v>
      </c>
      <c r="B108" s="420" t="s">
        <v>162</v>
      </c>
      <c r="C108" s="421"/>
      <c r="D108" s="422"/>
      <c r="E108" s="31"/>
      <c r="F108" s="31"/>
      <c r="G108" s="74"/>
      <c r="H108" s="74"/>
      <c r="I108" s="74"/>
      <c r="J108" s="74"/>
      <c r="K108" s="94">
        <f t="shared" si="12"/>
        <v>0</v>
      </c>
      <c r="L108" s="33">
        <f>0+K108</f>
        <v>0</v>
      </c>
      <c r="M108" s="34">
        <f t="shared" si="11"/>
        <v>0</v>
      </c>
      <c r="N108" s="35">
        <f t="shared" si="11"/>
        <v>0</v>
      </c>
      <c r="O108" s="64">
        <v>0</v>
      </c>
      <c r="P108" s="65">
        <v>0</v>
      </c>
      <c r="R108" s="96"/>
    </row>
    <row r="109" spans="1:16" ht="27.75" customHeight="1" thickBot="1">
      <c r="A109" s="60" t="s">
        <v>163</v>
      </c>
      <c r="B109" s="466" t="s">
        <v>164</v>
      </c>
      <c r="C109" s="467"/>
      <c r="D109" s="468"/>
      <c r="E109" s="31"/>
      <c r="F109" s="31"/>
      <c r="G109" s="74"/>
      <c r="H109" s="74"/>
      <c r="I109" s="74"/>
      <c r="J109" s="74"/>
      <c r="K109" s="94">
        <f t="shared" si="12"/>
        <v>0</v>
      </c>
      <c r="L109" s="33">
        <f>0+K109</f>
        <v>0</v>
      </c>
      <c r="M109" s="34">
        <f t="shared" si="11"/>
        <v>0</v>
      </c>
      <c r="N109" s="35">
        <f t="shared" si="11"/>
        <v>0</v>
      </c>
      <c r="O109" s="64">
        <v>0</v>
      </c>
      <c r="P109" s="65">
        <v>0</v>
      </c>
    </row>
    <row r="110" spans="1:16" ht="15.75" thickBot="1">
      <c r="A110" s="60" t="s">
        <v>165</v>
      </c>
      <c r="B110" s="420" t="s">
        <v>166</v>
      </c>
      <c r="C110" s="421"/>
      <c r="D110" s="422"/>
      <c r="E110" s="31"/>
      <c r="F110" s="31"/>
      <c r="G110" s="74"/>
      <c r="H110" s="74"/>
      <c r="I110" s="74"/>
      <c r="J110" s="74"/>
      <c r="K110" s="94">
        <f t="shared" si="12"/>
        <v>0</v>
      </c>
      <c r="L110" s="33">
        <f>0+K110</f>
        <v>0</v>
      </c>
      <c r="M110" s="34">
        <f t="shared" si="11"/>
        <v>0</v>
      </c>
      <c r="N110" s="35">
        <f t="shared" si="11"/>
        <v>0</v>
      </c>
      <c r="O110" s="64">
        <v>0</v>
      </c>
      <c r="P110" s="65">
        <v>0</v>
      </c>
    </row>
    <row r="111" spans="1:18" ht="19.5" customHeight="1" thickBot="1">
      <c r="A111" s="60" t="s">
        <v>167</v>
      </c>
      <c r="B111" s="420" t="s">
        <v>168</v>
      </c>
      <c r="C111" s="421"/>
      <c r="D111" s="422"/>
      <c r="E111" s="31"/>
      <c r="F111" s="31"/>
      <c r="G111" s="74"/>
      <c r="H111" s="74"/>
      <c r="I111" s="74"/>
      <c r="J111" s="74"/>
      <c r="K111" s="94">
        <f t="shared" si="12"/>
        <v>0</v>
      </c>
      <c r="L111" s="33">
        <f>35790+K111</f>
        <v>35790</v>
      </c>
      <c r="M111" s="34">
        <f t="shared" si="11"/>
        <v>0</v>
      </c>
      <c r="N111" s="35">
        <f t="shared" si="11"/>
        <v>-35790</v>
      </c>
      <c r="O111" s="64">
        <v>0</v>
      </c>
      <c r="P111" s="65">
        <v>0</v>
      </c>
      <c r="R111" s="95"/>
    </row>
    <row r="112" spans="1:16" ht="60" customHeight="1" thickBot="1">
      <c r="A112" s="60" t="s">
        <v>169</v>
      </c>
      <c r="B112" s="420" t="s">
        <v>170</v>
      </c>
      <c r="C112" s="421"/>
      <c r="D112" s="422"/>
      <c r="E112" s="31">
        <v>1000</v>
      </c>
      <c r="F112" s="31">
        <f>6000+E112</f>
        <v>7000</v>
      </c>
      <c r="G112" s="74">
        <v>18577.03</v>
      </c>
      <c r="H112" s="74"/>
      <c r="I112" s="74"/>
      <c r="J112" s="74"/>
      <c r="K112" s="94">
        <f t="shared" si="12"/>
        <v>18577.03</v>
      </c>
      <c r="L112" s="33">
        <f>11903.46+K112</f>
        <v>30480.489999999998</v>
      </c>
      <c r="M112" s="34">
        <f>E112-K112</f>
        <v>-17577.03</v>
      </c>
      <c r="N112" s="35">
        <f t="shared" si="11"/>
        <v>-23480.489999999998</v>
      </c>
      <c r="O112" s="64">
        <v>0</v>
      </c>
      <c r="P112" s="65">
        <v>0</v>
      </c>
    </row>
    <row r="113" spans="1:16" ht="33.75" customHeight="1" thickBot="1">
      <c r="A113" s="60" t="s">
        <v>171</v>
      </c>
      <c r="B113" s="420" t="s">
        <v>172</v>
      </c>
      <c r="C113" s="421"/>
      <c r="D113" s="422"/>
      <c r="E113" s="31"/>
      <c r="F113" s="31">
        <f>164000+E113</f>
        <v>164000</v>
      </c>
      <c r="G113" s="74"/>
      <c r="H113" s="74"/>
      <c r="I113" s="74"/>
      <c r="J113" s="74"/>
      <c r="K113" s="94">
        <f t="shared" si="12"/>
        <v>0</v>
      </c>
      <c r="L113" s="33">
        <f>0+K113</f>
        <v>0</v>
      </c>
      <c r="M113" s="34">
        <f t="shared" si="11"/>
        <v>0</v>
      </c>
      <c r="N113" s="35">
        <f t="shared" si="11"/>
        <v>164000</v>
      </c>
      <c r="O113" s="64">
        <v>0</v>
      </c>
      <c r="P113" s="65">
        <v>0</v>
      </c>
    </row>
    <row r="114" spans="1:16" ht="33" customHeight="1" thickBot="1">
      <c r="A114" s="60" t="s">
        <v>173</v>
      </c>
      <c r="B114" s="420" t="s">
        <v>174</v>
      </c>
      <c r="C114" s="421"/>
      <c r="D114" s="422"/>
      <c r="E114" s="31"/>
      <c r="F114" s="31"/>
      <c r="G114" s="74"/>
      <c r="H114" s="74"/>
      <c r="I114" s="74"/>
      <c r="J114" s="74"/>
      <c r="K114" s="94">
        <f t="shared" si="12"/>
        <v>0</v>
      </c>
      <c r="L114" s="33">
        <f>0+K114</f>
        <v>0</v>
      </c>
      <c r="M114" s="34">
        <f t="shared" si="11"/>
        <v>0</v>
      </c>
      <c r="N114" s="35">
        <f t="shared" si="11"/>
        <v>0</v>
      </c>
      <c r="O114" s="64">
        <v>0</v>
      </c>
      <c r="P114" s="65">
        <v>0</v>
      </c>
    </row>
    <row r="115" spans="1:16" ht="30.75" customHeight="1" thickBot="1">
      <c r="A115" s="60"/>
      <c r="B115" s="420" t="s">
        <v>175</v>
      </c>
      <c r="C115" s="421"/>
      <c r="D115" s="422"/>
      <c r="E115" s="31"/>
      <c r="F115" s="31"/>
      <c r="G115" s="74"/>
      <c r="H115" s="74"/>
      <c r="I115" s="74"/>
      <c r="J115" s="74"/>
      <c r="K115" s="94">
        <f>I115</f>
        <v>0</v>
      </c>
      <c r="L115" s="33">
        <f>0+K115</f>
        <v>0</v>
      </c>
      <c r="M115" s="34">
        <f t="shared" si="11"/>
        <v>0</v>
      </c>
      <c r="N115" s="35">
        <f t="shared" si="11"/>
        <v>0</v>
      </c>
      <c r="O115" s="64">
        <v>0</v>
      </c>
      <c r="P115" s="65">
        <v>0</v>
      </c>
    </row>
    <row r="116" spans="1:16" ht="31.5" customHeight="1" thickBot="1">
      <c r="A116" s="60" t="s">
        <v>176</v>
      </c>
      <c r="B116" s="420" t="s">
        <v>177</v>
      </c>
      <c r="C116" s="421"/>
      <c r="D116" s="422"/>
      <c r="E116" s="31"/>
      <c r="F116" s="31"/>
      <c r="G116" s="74"/>
      <c r="H116" s="74"/>
      <c r="I116" s="74"/>
      <c r="J116" s="74"/>
      <c r="K116" s="94">
        <f>G116</f>
        <v>0</v>
      </c>
      <c r="L116" s="33">
        <f>1356.68+K116</f>
        <v>1356.68</v>
      </c>
      <c r="M116" s="34">
        <f t="shared" si="11"/>
        <v>0</v>
      </c>
      <c r="N116" s="35">
        <f t="shared" si="11"/>
        <v>-1356.68</v>
      </c>
      <c r="O116" s="64">
        <v>0</v>
      </c>
      <c r="P116" s="65">
        <v>0</v>
      </c>
    </row>
    <row r="117" spans="1:18" ht="31.5" customHeight="1" thickBot="1">
      <c r="A117" s="60" t="s">
        <v>178</v>
      </c>
      <c r="B117" s="463" t="s">
        <v>179</v>
      </c>
      <c r="C117" s="464"/>
      <c r="D117" s="465"/>
      <c r="E117" s="31"/>
      <c r="F117" s="31"/>
      <c r="G117" s="74"/>
      <c r="H117" s="74"/>
      <c r="I117" s="74"/>
      <c r="J117" s="74"/>
      <c r="K117" s="94">
        <f>G117</f>
        <v>0</v>
      </c>
      <c r="L117" s="33">
        <f>6546+K117</f>
        <v>6546</v>
      </c>
      <c r="M117" s="34">
        <f t="shared" si="11"/>
        <v>0</v>
      </c>
      <c r="N117" s="35">
        <f t="shared" si="11"/>
        <v>-6546</v>
      </c>
      <c r="O117" s="64">
        <v>0</v>
      </c>
      <c r="P117" s="65">
        <v>0</v>
      </c>
      <c r="R117" s="96">
        <f>F129+F127+F126+F117+F113+F112+F111+F105+F104</f>
        <v>528200</v>
      </c>
    </row>
    <row r="118" spans="1:16" ht="31.5" customHeight="1" thickBot="1">
      <c r="A118" s="97" t="s">
        <v>180</v>
      </c>
      <c r="B118" s="420" t="s">
        <v>181</v>
      </c>
      <c r="C118" s="421"/>
      <c r="D118" s="422"/>
      <c r="E118" s="31">
        <v>1200</v>
      </c>
      <c r="F118" s="31">
        <f>5500+E118</f>
        <v>6700</v>
      </c>
      <c r="G118" s="74">
        <v>1000</v>
      </c>
      <c r="H118" s="74"/>
      <c r="I118" s="74"/>
      <c r="J118" s="74"/>
      <c r="K118" s="94">
        <f t="shared" si="12"/>
        <v>1000</v>
      </c>
      <c r="L118" s="33">
        <f>10850+K118</f>
        <v>11850</v>
      </c>
      <c r="M118" s="34">
        <f t="shared" si="11"/>
        <v>200</v>
      </c>
      <c r="N118" s="35">
        <f t="shared" si="11"/>
        <v>-5150</v>
      </c>
      <c r="O118" s="64">
        <v>0</v>
      </c>
      <c r="P118" s="65">
        <v>0</v>
      </c>
    </row>
    <row r="119" spans="1:16" ht="15.75" thickBot="1">
      <c r="A119" s="98"/>
      <c r="B119" s="396" t="s">
        <v>43</v>
      </c>
      <c r="C119" s="396"/>
      <c r="D119" s="396"/>
      <c r="E119" s="396"/>
      <c r="F119" s="396"/>
      <c r="G119" s="396"/>
      <c r="H119" s="396"/>
      <c r="I119" s="396"/>
      <c r="J119" s="396"/>
      <c r="K119" s="396"/>
      <c r="L119" s="396"/>
      <c r="M119" s="396"/>
      <c r="N119" s="396"/>
      <c r="O119" s="396"/>
      <c r="P119" s="397"/>
    </row>
    <row r="120" spans="1:16" ht="15.75" hidden="1" thickBot="1">
      <c r="A120" s="99"/>
      <c r="B120" s="399"/>
      <c r="C120" s="399"/>
      <c r="D120" s="399"/>
      <c r="E120" s="399"/>
      <c r="F120" s="399"/>
      <c r="G120" s="399"/>
      <c r="H120" s="399"/>
      <c r="I120" s="399"/>
      <c r="J120" s="399"/>
      <c r="K120" s="399"/>
      <c r="L120" s="399"/>
      <c r="M120" s="399"/>
      <c r="N120" s="399"/>
      <c r="O120" s="399"/>
      <c r="P120" s="400"/>
    </row>
    <row r="121" spans="1:16" ht="15.75" thickBot="1">
      <c r="A121" s="100"/>
      <c r="B121" s="471" t="s">
        <v>14</v>
      </c>
      <c r="C121" s="472"/>
      <c r="D121" s="473"/>
      <c r="E121" s="477" t="s">
        <v>24</v>
      </c>
      <c r="F121" s="479" t="s">
        <v>25</v>
      </c>
      <c r="G121" s="481" t="s">
        <v>44</v>
      </c>
      <c r="H121" s="482"/>
      <c r="I121" s="482"/>
      <c r="J121" s="482"/>
      <c r="K121" s="483"/>
      <c r="L121" s="469" t="s">
        <v>16</v>
      </c>
      <c r="M121" s="469" t="s">
        <v>17</v>
      </c>
      <c r="N121" s="469" t="s">
        <v>18</v>
      </c>
      <c r="O121" s="469" t="s">
        <v>19</v>
      </c>
      <c r="P121" s="469" t="s">
        <v>20</v>
      </c>
    </row>
    <row r="122" spans="1:16" ht="82.5" customHeight="1" thickBot="1">
      <c r="A122" s="254"/>
      <c r="B122" s="474"/>
      <c r="C122" s="475"/>
      <c r="D122" s="476"/>
      <c r="E122" s="478"/>
      <c r="F122" s="480"/>
      <c r="G122" s="102" t="s">
        <v>45</v>
      </c>
      <c r="H122" s="102" t="s">
        <v>46</v>
      </c>
      <c r="I122" s="102" t="s">
        <v>47</v>
      </c>
      <c r="J122" s="103" t="s">
        <v>48</v>
      </c>
      <c r="K122" s="104" t="s">
        <v>27</v>
      </c>
      <c r="L122" s="470"/>
      <c r="M122" s="470"/>
      <c r="N122" s="470"/>
      <c r="O122" s="470"/>
      <c r="P122" s="470"/>
    </row>
    <row r="123" spans="1:16" ht="15.75" thickBot="1">
      <c r="A123" s="105"/>
      <c r="B123" s="342">
        <v>1</v>
      </c>
      <c r="C123" s="343"/>
      <c r="D123" s="344"/>
      <c r="E123" s="17" t="s">
        <v>22</v>
      </c>
      <c r="F123" s="247">
        <v>3</v>
      </c>
      <c r="G123" s="247">
        <v>4</v>
      </c>
      <c r="H123" s="247">
        <v>5</v>
      </c>
      <c r="I123" s="7">
        <v>6</v>
      </c>
      <c r="J123" s="7">
        <v>7</v>
      </c>
      <c r="K123" s="48">
        <v>8</v>
      </c>
      <c r="L123" s="251">
        <v>9</v>
      </c>
      <c r="M123" s="7">
        <v>10</v>
      </c>
      <c r="N123" s="251">
        <v>11</v>
      </c>
      <c r="O123" s="7">
        <v>12</v>
      </c>
      <c r="P123" s="251">
        <v>13</v>
      </c>
    </row>
    <row r="124" spans="1:16" ht="35.25" customHeight="1" thickBot="1">
      <c r="A124" s="106" t="s">
        <v>182</v>
      </c>
      <c r="B124" s="411" t="s">
        <v>183</v>
      </c>
      <c r="C124" s="412"/>
      <c r="D124" s="413"/>
      <c r="E124" s="31"/>
      <c r="F124" s="31"/>
      <c r="G124" s="74"/>
      <c r="H124" s="74"/>
      <c r="I124" s="74"/>
      <c r="J124" s="74"/>
      <c r="K124" s="94">
        <f aca="true" t="shared" si="13" ref="K124:K138">G124</f>
        <v>0</v>
      </c>
      <c r="L124" s="33">
        <f>0+K124</f>
        <v>0</v>
      </c>
      <c r="M124" s="34">
        <f aca="true" t="shared" si="14" ref="M124:N139">E124-K124</f>
        <v>0</v>
      </c>
      <c r="N124" s="35">
        <f t="shared" si="14"/>
        <v>0</v>
      </c>
      <c r="O124" s="64">
        <v>0</v>
      </c>
      <c r="P124" s="65">
        <v>0</v>
      </c>
    </row>
    <row r="125" spans="1:16" ht="41.25" thickBot="1">
      <c r="A125" s="107" t="s">
        <v>184</v>
      </c>
      <c r="B125" s="426" t="s">
        <v>185</v>
      </c>
      <c r="C125" s="427"/>
      <c r="D125" s="428"/>
      <c r="E125" s="31"/>
      <c r="F125" s="31"/>
      <c r="G125" s="74"/>
      <c r="H125" s="74"/>
      <c r="I125" s="74"/>
      <c r="J125" s="74"/>
      <c r="K125" s="94">
        <f t="shared" si="13"/>
        <v>0</v>
      </c>
      <c r="L125" s="33">
        <f>0+K125</f>
        <v>0</v>
      </c>
      <c r="M125" s="34">
        <f t="shared" si="14"/>
        <v>0</v>
      </c>
      <c r="N125" s="35">
        <f t="shared" si="14"/>
        <v>0</v>
      </c>
      <c r="O125" s="64">
        <v>0</v>
      </c>
      <c r="P125" s="65">
        <v>0</v>
      </c>
    </row>
    <row r="126" spans="1:16" ht="45.75" thickBot="1">
      <c r="A126" s="108" t="s">
        <v>186</v>
      </c>
      <c r="B126" s="426" t="s">
        <v>187</v>
      </c>
      <c r="C126" s="427"/>
      <c r="D126" s="428"/>
      <c r="E126" s="31"/>
      <c r="F126" s="31">
        <f>300000+E126</f>
        <v>300000</v>
      </c>
      <c r="G126" s="74">
        <v>10618.65</v>
      </c>
      <c r="H126" s="74"/>
      <c r="I126" s="74"/>
      <c r="J126" s="74"/>
      <c r="K126" s="94">
        <f>I126+G126</f>
        <v>10618.65</v>
      </c>
      <c r="L126" s="33">
        <f>402715.062+K126</f>
        <v>413333.712</v>
      </c>
      <c r="M126" s="34">
        <f t="shared" si="14"/>
        <v>-10618.65</v>
      </c>
      <c r="N126" s="35">
        <f t="shared" si="14"/>
        <v>-113333.712</v>
      </c>
      <c r="O126" s="64">
        <v>0</v>
      </c>
      <c r="P126" s="65">
        <v>0</v>
      </c>
    </row>
    <row r="127" spans="1:16" ht="50.25" customHeight="1" thickBot="1">
      <c r="A127" s="108" t="s">
        <v>188</v>
      </c>
      <c r="B127" s="426" t="s">
        <v>189</v>
      </c>
      <c r="C127" s="427"/>
      <c r="D127" s="428"/>
      <c r="E127" s="31"/>
      <c r="F127" s="31">
        <f>0+E127</f>
        <v>0</v>
      </c>
      <c r="G127" s="74"/>
      <c r="H127" s="74"/>
      <c r="I127" s="74"/>
      <c r="J127" s="74"/>
      <c r="K127" s="94">
        <f>H127</f>
        <v>0</v>
      </c>
      <c r="L127" s="33">
        <f>0+K127</f>
        <v>0</v>
      </c>
      <c r="M127" s="34">
        <f t="shared" si="14"/>
        <v>0</v>
      </c>
      <c r="N127" s="35">
        <f t="shared" si="14"/>
        <v>0</v>
      </c>
      <c r="O127" s="64">
        <v>0</v>
      </c>
      <c r="P127" s="65">
        <v>0</v>
      </c>
    </row>
    <row r="128" spans="1:16" ht="45.75" thickBot="1">
      <c r="A128" s="109" t="s">
        <v>190</v>
      </c>
      <c r="B128" s="426" t="s">
        <v>191</v>
      </c>
      <c r="C128" s="427"/>
      <c r="D128" s="428"/>
      <c r="E128" s="31"/>
      <c r="F128" s="31"/>
      <c r="G128" s="74"/>
      <c r="H128" s="74"/>
      <c r="I128" s="74"/>
      <c r="J128" s="74"/>
      <c r="K128" s="94">
        <f>G128</f>
        <v>0</v>
      </c>
      <c r="L128" s="33">
        <f>3020+K128</f>
        <v>3020</v>
      </c>
      <c r="M128" s="34">
        <f t="shared" si="14"/>
        <v>0</v>
      </c>
      <c r="N128" s="35">
        <f t="shared" si="14"/>
        <v>-3020</v>
      </c>
      <c r="O128" s="64">
        <v>0</v>
      </c>
      <c r="P128" s="65">
        <v>0</v>
      </c>
    </row>
    <row r="129" spans="1:16" ht="48.75" customHeight="1" thickBot="1">
      <c r="A129" s="109" t="s">
        <v>192</v>
      </c>
      <c r="B129" s="494" t="s">
        <v>193</v>
      </c>
      <c r="C129" s="495"/>
      <c r="D129" s="496"/>
      <c r="E129" s="31"/>
      <c r="F129" s="31">
        <f>6000+E129</f>
        <v>6000</v>
      </c>
      <c r="G129" s="74"/>
      <c r="H129" s="74"/>
      <c r="I129" s="74"/>
      <c r="J129" s="74"/>
      <c r="K129" s="94">
        <f>G129+I129</f>
        <v>0</v>
      </c>
      <c r="L129" s="33">
        <f>0+K129</f>
        <v>0</v>
      </c>
      <c r="M129" s="34">
        <f t="shared" si="14"/>
        <v>0</v>
      </c>
      <c r="N129" s="35">
        <f t="shared" si="14"/>
        <v>6000</v>
      </c>
      <c r="O129" s="64">
        <v>0</v>
      </c>
      <c r="P129" s="65">
        <v>0</v>
      </c>
    </row>
    <row r="130" spans="1:19" ht="31.5" customHeight="1" thickBot="1">
      <c r="A130" s="259">
        <v>15</v>
      </c>
      <c r="B130" s="418" t="s">
        <v>194</v>
      </c>
      <c r="C130" s="418"/>
      <c r="D130" s="419"/>
      <c r="E130" s="73">
        <f>E131+E132</f>
        <v>0</v>
      </c>
      <c r="F130" s="73">
        <f>F131</f>
        <v>130000</v>
      </c>
      <c r="G130" s="75">
        <f>G131+G132</f>
        <v>4610</v>
      </c>
      <c r="H130" s="74"/>
      <c r="I130" s="74"/>
      <c r="J130" s="74"/>
      <c r="K130" s="93">
        <f t="shared" si="13"/>
        <v>4610</v>
      </c>
      <c r="L130" s="55">
        <f>L131+L132</f>
        <v>18050.82</v>
      </c>
      <c r="M130" s="56">
        <f t="shared" si="14"/>
        <v>-4610</v>
      </c>
      <c r="N130" s="70">
        <f t="shared" si="14"/>
        <v>111949.18</v>
      </c>
      <c r="O130" s="58">
        <v>0</v>
      </c>
      <c r="P130" s="59">
        <v>0</v>
      </c>
      <c r="Q130" s="1"/>
      <c r="R130" s="1"/>
      <c r="S130" s="1"/>
    </row>
    <row r="131" spans="1:19" ht="29.25" customHeight="1" thickBot="1">
      <c r="A131" s="60" t="s">
        <v>195</v>
      </c>
      <c r="B131" s="405" t="s">
        <v>53</v>
      </c>
      <c r="C131" s="406"/>
      <c r="D131" s="407"/>
      <c r="E131" s="155"/>
      <c r="F131" s="31">
        <f>130000+E131</f>
        <v>130000</v>
      </c>
      <c r="G131" s="74">
        <v>4610</v>
      </c>
      <c r="H131" s="74"/>
      <c r="I131" s="74"/>
      <c r="J131" s="74"/>
      <c r="K131" s="94">
        <f t="shared" si="13"/>
        <v>4610</v>
      </c>
      <c r="L131" s="33">
        <f>13440.82+K131</f>
        <v>18050.82</v>
      </c>
      <c r="M131" s="34">
        <f t="shared" si="14"/>
        <v>-4610</v>
      </c>
      <c r="N131" s="35">
        <f t="shared" si="14"/>
        <v>111949.18</v>
      </c>
      <c r="O131" s="64">
        <v>0</v>
      </c>
      <c r="P131" s="65">
        <v>0</v>
      </c>
      <c r="Q131" s="1"/>
      <c r="R131" s="1"/>
      <c r="S131" s="1"/>
    </row>
    <row r="132" spans="1:19" ht="32.25" customHeight="1" thickBot="1">
      <c r="A132" s="60" t="s">
        <v>196</v>
      </c>
      <c r="B132" s="405" t="s">
        <v>104</v>
      </c>
      <c r="C132" s="406"/>
      <c r="D132" s="407"/>
      <c r="E132" s="61"/>
      <c r="F132" s="31"/>
      <c r="G132" s="74"/>
      <c r="H132" s="74"/>
      <c r="I132" s="74"/>
      <c r="J132" s="74"/>
      <c r="K132" s="94">
        <f t="shared" si="13"/>
        <v>0</v>
      </c>
      <c r="L132" s="33">
        <f>0+K132</f>
        <v>0</v>
      </c>
      <c r="M132" s="34">
        <f t="shared" si="14"/>
        <v>0</v>
      </c>
      <c r="N132" s="35">
        <f t="shared" si="14"/>
        <v>0</v>
      </c>
      <c r="O132" s="64">
        <v>0</v>
      </c>
      <c r="P132" s="65">
        <v>0</v>
      </c>
      <c r="Q132" s="1"/>
      <c r="R132" s="1"/>
      <c r="S132" s="1"/>
    </row>
    <row r="133" spans="1:19" ht="30" customHeight="1" thickBot="1">
      <c r="A133" s="260">
        <v>16</v>
      </c>
      <c r="B133" s="418" t="s">
        <v>197</v>
      </c>
      <c r="C133" s="418"/>
      <c r="D133" s="419"/>
      <c r="E133" s="31">
        <v>0</v>
      </c>
      <c r="F133" s="73">
        <f>F134</f>
        <v>0</v>
      </c>
      <c r="G133" s="75">
        <f>G134+G135</f>
        <v>0</v>
      </c>
      <c r="H133" s="74"/>
      <c r="I133" s="74"/>
      <c r="J133" s="74"/>
      <c r="K133" s="93">
        <f t="shared" si="13"/>
        <v>0</v>
      </c>
      <c r="L133" s="55">
        <f>0+K133</f>
        <v>0</v>
      </c>
      <c r="M133" s="56">
        <f t="shared" si="14"/>
        <v>0</v>
      </c>
      <c r="N133" s="70">
        <f t="shared" si="14"/>
        <v>0</v>
      </c>
      <c r="O133" s="58">
        <v>0</v>
      </c>
      <c r="P133" s="59">
        <v>0</v>
      </c>
      <c r="Q133" s="1"/>
      <c r="R133" s="1"/>
      <c r="S133" s="1"/>
    </row>
    <row r="134" spans="1:19" ht="27" customHeight="1" thickBot="1">
      <c r="A134" s="60" t="s">
        <v>198</v>
      </c>
      <c r="B134" s="405" t="s">
        <v>53</v>
      </c>
      <c r="C134" s="406"/>
      <c r="D134" s="407"/>
      <c r="E134" s="61"/>
      <c r="F134" s="31">
        <v>0</v>
      </c>
      <c r="G134" s="74"/>
      <c r="H134" s="74"/>
      <c r="I134" s="74"/>
      <c r="J134" s="74"/>
      <c r="K134" s="94">
        <f t="shared" si="13"/>
        <v>0</v>
      </c>
      <c r="L134" s="33">
        <f>0+K134</f>
        <v>0</v>
      </c>
      <c r="M134" s="34">
        <f t="shared" si="14"/>
        <v>0</v>
      </c>
      <c r="N134" s="35">
        <f t="shared" si="14"/>
        <v>0</v>
      </c>
      <c r="O134" s="64">
        <v>0</v>
      </c>
      <c r="P134" s="65">
        <v>0</v>
      </c>
      <c r="Q134" s="1"/>
      <c r="R134" s="1"/>
      <c r="S134" s="1"/>
    </row>
    <row r="135" spans="1:19" ht="41.25" customHeight="1" thickBot="1">
      <c r="A135" s="60" t="s">
        <v>199</v>
      </c>
      <c r="B135" s="405" t="s">
        <v>104</v>
      </c>
      <c r="C135" s="406"/>
      <c r="D135" s="407"/>
      <c r="E135" s="61"/>
      <c r="F135" s="31"/>
      <c r="G135" s="74"/>
      <c r="H135" s="74"/>
      <c r="I135" s="74"/>
      <c r="J135" s="74"/>
      <c r="K135" s="94">
        <f t="shared" si="13"/>
        <v>0</v>
      </c>
      <c r="L135" s="33">
        <f>0+K135</f>
        <v>0</v>
      </c>
      <c r="M135" s="34">
        <f t="shared" si="14"/>
        <v>0</v>
      </c>
      <c r="N135" s="35">
        <f t="shared" si="14"/>
        <v>0</v>
      </c>
      <c r="O135" s="64">
        <v>0</v>
      </c>
      <c r="P135" s="65">
        <v>0</v>
      </c>
      <c r="Q135" s="1"/>
      <c r="R135" s="1"/>
      <c r="S135" s="1"/>
    </row>
    <row r="136" spans="1:19" ht="47.25" customHeight="1" thickBot="1">
      <c r="A136" s="259">
        <v>17</v>
      </c>
      <c r="B136" s="418" t="s">
        <v>200</v>
      </c>
      <c r="C136" s="418"/>
      <c r="D136" s="419"/>
      <c r="E136" s="73">
        <v>0</v>
      </c>
      <c r="F136" s="73">
        <f>F137</f>
        <v>5504</v>
      </c>
      <c r="G136" s="75">
        <f>G137+G138</f>
        <v>0</v>
      </c>
      <c r="H136" s="75"/>
      <c r="I136" s="75"/>
      <c r="J136" s="75"/>
      <c r="K136" s="93">
        <f t="shared" si="13"/>
        <v>0</v>
      </c>
      <c r="L136" s="55">
        <f>L137</f>
        <v>23504</v>
      </c>
      <c r="M136" s="56">
        <f t="shared" si="14"/>
        <v>0</v>
      </c>
      <c r="N136" s="70">
        <f t="shared" si="14"/>
        <v>-18000</v>
      </c>
      <c r="O136" s="58">
        <v>0</v>
      </c>
      <c r="P136" s="59">
        <v>0</v>
      </c>
      <c r="Q136" s="1"/>
      <c r="R136" s="1"/>
      <c r="S136" s="1"/>
    </row>
    <row r="137" spans="1:19" ht="27" customHeight="1" thickBot="1">
      <c r="A137" s="60" t="s">
        <v>201</v>
      </c>
      <c r="B137" s="405" t="s">
        <v>53</v>
      </c>
      <c r="C137" s="406"/>
      <c r="D137" s="407"/>
      <c r="E137" s="61"/>
      <c r="F137" s="31">
        <f>5504+E137</f>
        <v>5504</v>
      </c>
      <c r="G137" s="74"/>
      <c r="H137" s="74"/>
      <c r="I137" s="74"/>
      <c r="J137" s="74"/>
      <c r="K137" s="94">
        <f t="shared" si="13"/>
        <v>0</v>
      </c>
      <c r="L137" s="33">
        <f>23504+K137</f>
        <v>23504</v>
      </c>
      <c r="M137" s="34">
        <f t="shared" si="14"/>
        <v>0</v>
      </c>
      <c r="N137" s="35">
        <f t="shared" si="14"/>
        <v>-18000</v>
      </c>
      <c r="O137" s="64">
        <v>0</v>
      </c>
      <c r="P137" s="65">
        <v>0</v>
      </c>
      <c r="Q137" s="1"/>
      <c r="R137" s="1"/>
      <c r="S137" s="1"/>
    </row>
    <row r="138" spans="1:19" ht="29.25" customHeight="1" thickBot="1">
      <c r="A138" s="60" t="s">
        <v>202</v>
      </c>
      <c r="B138" s="405" t="s">
        <v>104</v>
      </c>
      <c r="C138" s="406"/>
      <c r="D138" s="407"/>
      <c r="E138" s="61"/>
      <c r="F138" s="31"/>
      <c r="G138" s="74"/>
      <c r="H138" s="74"/>
      <c r="I138" s="74"/>
      <c r="J138" s="74"/>
      <c r="K138" s="94">
        <f t="shared" si="13"/>
        <v>0</v>
      </c>
      <c r="L138" s="33">
        <f>0+K138</f>
        <v>0</v>
      </c>
      <c r="M138" s="34">
        <f t="shared" si="14"/>
        <v>0</v>
      </c>
      <c r="N138" s="35">
        <f t="shared" si="14"/>
        <v>0</v>
      </c>
      <c r="O138" s="64">
        <v>0</v>
      </c>
      <c r="P138" s="65">
        <v>0</v>
      </c>
      <c r="Q138" s="1"/>
      <c r="R138" s="1"/>
      <c r="S138" s="1"/>
    </row>
    <row r="139" spans="1:19" ht="22.5" customHeight="1" thickBot="1">
      <c r="A139" s="110">
        <v>18</v>
      </c>
      <c r="B139" s="424" t="s">
        <v>42</v>
      </c>
      <c r="C139" s="424"/>
      <c r="D139" s="425"/>
      <c r="E139" s="31">
        <v>0</v>
      </c>
      <c r="F139" s="31"/>
      <c r="G139" s="74"/>
      <c r="H139" s="74"/>
      <c r="I139" s="74"/>
      <c r="J139" s="75"/>
      <c r="K139" s="93">
        <f>J139</f>
        <v>0</v>
      </c>
      <c r="L139" s="55">
        <f>855390.07+K139</f>
        <v>855390.07</v>
      </c>
      <c r="M139" s="56">
        <f>E139-K139</f>
        <v>0</v>
      </c>
      <c r="N139" s="70">
        <f t="shared" si="14"/>
        <v>-855390.07</v>
      </c>
      <c r="O139" s="58">
        <v>0</v>
      </c>
      <c r="P139" s="59">
        <v>0</v>
      </c>
      <c r="Q139" s="1"/>
      <c r="R139" s="1"/>
      <c r="S139" s="1"/>
    </row>
    <row r="140" spans="1:19" ht="59.25" customHeight="1" thickBot="1">
      <c r="A140" s="112"/>
      <c r="B140" s="488" t="s">
        <v>203</v>
      </c>
      <c r="C140" s="488"/>
      <c r="D140" s="488"/>
      <c r="E140" s="488"/>
      <c r="F140" s="113"/>
      <c r="G140" s="113" t="s">
        <v>4</v>
      </c>
      <c r="H140" s="249" t="s">
        <v>5</v>
      </c>
      <c r="I140" s="338" t="s">
        <v>6</v>
      </c>
      <c r="J140" s="339"/>
      <c r="K140" s="8" t="s">
        <v>11</v>
      </c>
      <c r="L140" s="7" t="s">
        <v>8</v>
      </c>
      <c r="M140" s="7" t="s">
        <v>9</v>
      </c>
      <c r="N140" s="115" t="s">
        <v>10</v>
      </c>
      <c r="O140" s="116"/>
      <c r="P140" s="250"/>
      <c r="Q140" s="1"/>
      <c r="R140" s="1"/>
      <c r="S140" s="1"/>
    </row>
    <row r="141" spans="1:19" ht="23.25" customHeight="1" thickBot="1">
      <c r="A141" s="118"/>
      <c r="B141" s="488" t="s">
        <v>12</v>
      </c>
      <c r="C141" s="488"/>
      <c r="D141" s="488"/>
      <c r="E141" s="489"/>
      <c r="F141" s="119"/>
      <c r="G141" s="119">
        <v>0</v>
      </c>
      <c r="H141" s="4">
        <v>0</v>
      </c>
      <c r="I141" s="330">
        <v>0</v>
      </c>
      <c r="J141" s="331"/>
      <c r="K141" s="120"/>
      <c r="L141" s="4">
        <v>0</v>
      </c>
      <c r="M141" s="245">
        <v>0</v>
      </c>
      <c r="N141" s="245">
        <v>0</v>
      </c>
      <c r="O141" s="4"/>
      <c r="P141" s="4">
        <v>0</v>
      </c>
      <c r="Q141" s="1"/>
      <c r="R141" s="80">
        <f>R142-942302.36</f>
        <v>0</v>
      </c>
      <c r="S141" s="1"/>
    </row>
    <row r="142" spans="1:19" ht="27" customHeight="1" thickBot="1">
      <c r="A142" s="112"/>
      <c r="B142" s="488" t="s">
        <v>13</v>
      </c>
      <c r="C142" s="488"/>
      <c r="D142" s="488"/>
      <c r="E142" s="489"/>
      <c r="F142" s="4"/>
      <c r="G142" s="4">
        <f>F10+G17-G32-G36-G40-G45-G55-G65-G68-G72-G75-G79-G87-G100-G131-G134-G137-G81+22949.59</f>
        <v>-100561.56</v>
      </c>
      <c r="H142" s="4">
        <f>G18+H10-H29</f>
        <v>779865.99</v>
      </c>
      <c r="I142" s="330">
        <f>I10+G19-I102-I66-I95-I76</f>
        <v>0</v>
      </c>
      <c r="J142" s="331"/>
      <c r="K142" s="120">
        <f>O10+G22-J54</f>
        <v>47115.59000000001</v>
      </c>
      <c r="L142" s="4">
        <f>L10+G23-J139</f>
        <v>215882.34</v>
      </c>
      <c r="M142" s="245">
        <v>0</v>
      </c>
      <c r="N142" s="4">
        <v>0</v>
      </c>
      <c r="O142" s="121"/>
      <c r="P142" s="4">
        <f>SUM(G142:O142)</f>
        <v>942302.3599999999</v>
      </c>
      <c r="Q142" s="1"/>
      <c r="R142" s="80">
        <f>P5+L16-L29</f>
        <v>942302.3599999994</v>
      </c>
      <c r="S142" s="37"/>
    </row>
    <row r="143" spans="1:19" ht="24.75" customHeight="1" thickBot="1">
      <c r="A143" s="122"/>
      <c r="B143" s="323" t="s">
        <v>237</v>
      </c>
      <c r="C143" s="323"/>
      <c r="D143" s="323"/>
      <c r="E143" s="324"/>
      <c r="F143" s="325"/>
      <c r="G143" s="325"/>
      <c r="H143" s="325"/>
      <c r="I143" s="325"/>
      <c r="J143" s="325"/>
      <c r="K143" s="325"/>
      <c r="L143" s="325"/>
      <c r="M143" s="325"/>
      <c r="N143" s="484"/>
      <c r="O143" s="485"/>
      <c r="P143" s="123">
        <f>P142</f>
        <v>942302.3599999999</v>
      </c>
      <c r="Q143" s="1"/>
      <c r="R143" s="37">
        <f>P5+L16-L29</f>
        <v>942302.3599999994</v>
      </c>
      <c r="S143" s="37"/>
    </row>
    <row r="144" spans="1:19" ht="15">
      <c r="A144" s="1"/>
      <c r="B144" s="124"/>
      <c r="C144" s="124"/>
      <c r="D144" s="124"/>
      <c r="E144" s="124"/>
      <c r="F144" s="125"/>
      <c r="G144" s="125"/>
      <c r="H144" s="125"/>
      <c r="I144" s="125"/>
      <c r="J144" s="125"/>
      <c r="K144" s="126"/>
      <c r="L144" s="125"/>
      <c r="M144" s="125"/>
      <c r="N144" s="125"/>
      <c r="O144" s="127"/>
      <c r="P144" s="128"/>
      <c r="Q144" s="1"/>
      <c r="R144" s="37"/>
      <c r="S144" s="1"/>
    </row>
    <row r="145" spans="1:19" ht="15">
      <c r="A145" s="1"/>
      <c r="B145" s="486" t="s">
        <v>204</v>
      </c>
      <c r="C145" s="486"/>
      <c r="D145" s="486"/>
      <c r="E145" s="486"/>
      <c r="F145" s="486"/>
      <c r="G145" s="486"/>
      <c r="H145" s="486"/>
      <c r="I145" s="486"/>
      <c r="J145" s="486"/>
      <c r="K145" s="486"/>
      <c r="L145" s="486"/>
      <c r="M145" s="486"/>
      <c r="N145" s="486"/>
      <c r="O145" s="487" t="s">
        <v>205</v>
      </c>
      <c r="P145" s="487"/>
      <c r="Q145" s="1"/>
      <c r="R145" s="80"/>
      <c r="S145" s="37"/>
    </row>
    <row r="146" spans="1:19" ht="15">
      <c r="A146" s="1"/>
      <c r="B146" s="486" t="s">
        <v>206</v>
      </c>
      <c r="C146" s="486"/>
      <c r="D146" s="486"/>
      <c r="E146" s="486"/>
      <c r="F146" s="486"/>
      <c r="G146" s="486"/>
      <c r="H146" s="486"/>
      <c r="I146" s="486"/>
      <c r="J146" s="486"/>
      <c r="K146" s="486"/>
      <c r="L146" s="486"/>
      <c r="M146" s="486"/>
      <c r="N146" s="486"/>
      <c r="O146" s="486" t="s">
        <v>207</v>
      </c>
      <c r="P146" s="486"/>
      <c r="Q146" s="1"/>
      <c r="R146" s="1"/>
      <c r="S146" s="1"/>
    </row>
    <row r="147" spans="1:19" ht="15">
      <c r="A147" s="1"/>
      <c r="B147" s="258"/>
      <c r="C147" s="258"/>
      <c r="D147" s="258"/>
      <c r="E147" s="258"/>
      <c r="F147" s="258"/>
      <c r="G147" s="258"/>
      <c r="H147" s="258"/>
      <c r="I147" s="258"/>
      <c r="J147" s="130"/>
      <c r="K147" s="131"/>
      <c r="L147" s="130"/>
      <c r="M147" s="258"/>
      <c r="N147" s="258"/>
      <c r="O147" s="258"/>
      <c r="P147" s="130"/>
      <c r="Q147" s="1"/>
      <c r="R147" s="37"/>
      <c r="S147" s="1"/>
    </row>
    <row r="149" spans="1:19" ht="15">
      <c r="A149" s="1"/>
      <c r="B149" s="1"/>
      <c r="C149" s="1"/>
      <c r="D149" s="1"/>
      <c r="E149" s="1"/>
      <c r="F149" s="1"/>
      <c r="G149" s="1"/>
      <c r="H149" s="1"/>
      <c r="I149" s="132"/>
      <c r="J149" s="1"/>
      <c r="K149" s="1"/>
      <c r="L149" s="1"/>
      <c r="M149" s="1"/>
      <c r="N149" s="1"/>
      <c r="O149" s="1"/>
      <c r="P149" s="1"/>
      <c r="Q149" s="1"/>
      <c r="R149" s="37"/>
      <c r="S149" s="1"/>
    </row>
    <row r="150" spans="1:19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37"/>
      <c r="S150" s="1"/>
    </row>
    <row r="151" spans="1:19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7"/>
      <c r="O151" s="1"/>
      <c r="P151" s="1"/>
      <c r="Q151" s="1"/>
      <c r="R151" s="1"/>
      <c r="S151" s="1"/>
    </row>
    <row r="152" spans="12:16" ht="15">
      <c r="L152" s="1"/>
      <c r="M152" s="1"/>
      <c r="N152" s="37"/>
      <c r="O152" s="1"/>
      <c r="P152" s="37"/>
    </row>
    <row r="153" spans="12:16" ht="15">
      <c r="L153" s="1"/>
      <c r="M153" s="1"/>
      <c r="N153" s="133"/>
      <c r="O153" s="1"/>
      <c r="P153" s="37"/>
    </row>
    <row r="154" spans="12:16" ht="15">
      <c r="L154" s="37"/>
      <c r="M154" s="1"/>
      <c r="N154" s="1"/>
      <c r="O154" s="1"/>
      <c r="P154" s="1"/>
    </row>
    <row r="155" spans="12:16" ht="15">
      <c r="L155" s="37"/>
      <c r="M155" s="37"/>
      <c r="N155" s="1"/>
      <c r="O155" s="1"/>
      <c r="P155" s="1"/>
    </row>
  </sheetData>
  <sheetProtection/>
  <mergeCells count="201">
    <mergeCell ref="B1:P1"/>
    <mergeCell ref="B2:P2"/>
    <mergeCell ref="B3:P3"/>
    <mergeCell ref="B4:P4"/>
    <mergeCell ref="B5:E5"/>
    <mergeCell ref="F5:O5"/>
    <mergeCell ref="B9:E9"/>
    <mergeCell ref="F9:G9"/>
    <mergeCell ref="I9:J9"/>
    <mergeCell ref="B10:E10"/>
    <mergeCell ref="F10:G10"/>
    <mergeCell ref="I10:J10"/>
    <mergeCell ref="B6:E6"/>
    <mergeCell ref="F6:O6"/>
    <mergeCell ref="B7:E7"/>
    <mergeCell ref="F7:P7"/>
    <mergeCell ref="B8:E8"/>
    <mergeCell ref="F8:G8"/>
    <mergeCell ref="I8:J8"/>
    <mergeCell ref="P12:P13"/>
    <mergeCell ref="B14:D14"/>
    <mergeCell ref="G14:J14"/>
    <mergeCell ref="A15:A16"/>
    <mergeCell ref="B15:D16"/>
    <mergeCell ref="G15:J15"/>
    <mergeCell ref="G16:J16"/>
    <mergeCell ref="B11:E11"/>
    <mergeCell ref="F11:P11"/>
    <mergeCell ref="A12:A13"/>
    <mergeCell ref="B12:E13"/>
    <mergeCell ref="F12:F13"/>
    <mergeCell ref="G12:K13"/>
    <mergeCell ref="L12:L13"/>
    <mergeCell ref="M12:M13"/>
    <mergeCell ref="N12:N13"/>
    <mergeCell ref="O12:O13"/>
    <mergeCell ref="B20:D20"/>
    <mergeCell ref="G20:J20"/>
    <mergeCell ref="B21:D21"/>
    <mergeCell ref="G21:J21"/>
    <mergeCell ref="B22:D22"/>
    <mergeCell ref="G22:J22"/>
    <mergeCell ref="B17:D17"/>
    <mergeCell ref="G17:J17"/>
    <mergeCell ref="B18:D18"/>
    <mergeCell ref="G18:J18"/>
    <mergeCell ref="B19:D19"/>
    <mergeCell ref="G19:J19"/>
    <mergeCell ref="P26:P27"/>
    <mergeCell ref="B28:D28"/>
    <mergeCell ref="B29:D29"/>
    <mergeCell ref="B23:D23"/>
    <mergeCell ref="G23:J23"/>
    <mergeCell ref="A24:A25"/>
    <mergeCell ref="B24:P25"/>
    <mergeCell ref="A26:A27"/>
    <mergeCell ref="B26:D27"/>
    <mergeCell ref="E26:E27"/>
    <mergeCell ref="F26:F27"/>
    <mergeCell ref="G26:K26"/>
    <mergeCell ref="L26:L27"/>
    <mergeCell ref="B30:D30"/>
    <mergeCell ref="B31:D31"/>
    <mergeCell ref="B32:D32"/>
    <mergeCell ref="B33:D33"/>
    <mergeCell ref="B34:D34"/>
    <mergeCell ref="B35:D35"/>
    <mergeCell ref="M26:M27"/>
    <mergeCell ref="N26:N27"/>
    <mergeCell ref="O26:O27"/>
    <mergeCell ref="B42:D42"/>
    <mergeCell ref="B43:D43"/>
    <mergeCell ref="B44:D44"/>
    <mergeCell ref="B45:D45"/>
    <mergeCell ref="B46:D46"/>
    <mergeCell ref="B48:D48"/>
    <mergeCell ref="B36:D36"/>
    <mergeCell ref="B37:D37"/>
    <mergeCell ref="B38:D38"/>
    <mergeCell ref="B39:D39"/>
    <mergeCell ref="B40:D40"/>
    <mergeCell ref="B41:D41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79:D79"/>
    <mergeCell ref="B80:D80"/>
    <mergeCell ref="B81:D81"/>
    <mergeCell ref="B82:D82"/>
    <mergeCell ref="A83:A84"/>
    <mergeCell ref="B83:D84"/>
    <mergeCell ref="B73:D73"/>
    <mergeCell ref="B74:D74"/>
    <mergeCell ref="B75:D75"/>
    <mergeCell ref="B76:D76"/>
    <mergeCell ref="B77:D77"/>
    <mergeCell ref="B78:D78"/>
    <mergeCell ref="B89:D89"/>
    <mergeCell ref="B90:D90"/>
    <mergeCell ref="B91:D91"/>
    <mergeCell ref="B92:D92"/>
    <mergeCell ref="B93:D93"/>
    <mergeCell ref="B94:D94"/>
    <mergeCell ref="O83:O84"/>
    <mergeCell ref="P83:P84"/>
    <mergeCell ref="B85:D85"/>
    <mergeCell ref="B86:D86"/>
    <mergeCell ref="B87:D87"/>
    <mergeCell ref="B88:D88"/>
    <mergeCell ref="E83:E84"/>
    <mergeCell ref="F83:F84"/>
    <mergeCell ref="G83:K83"/>
    <mergeCell ref="L83:L84"/>
    <mergeCell ref="M83:M84"/>
    <mergeCell ref="N83:N84"/>
    <mergeCell ref="B101:D101"/>
    <mergeCell ref="B102:D102"/>
    <mergeCell ref="B103:D103"/>
    <mergeCell ref="B104:D104"/>
    <mergeCell ref="B105:D105"/>
    <mergeCell ref="B106:D106"/>
    <mergeCell ref="B95:D95"/>
    <mergeCell ref="B96:D96"/>
    <mergeCell ref="B97:D97"/>
    <mergeCell ref="B98:D98"/>
    <mergeCell ref="B99:D99"/>
    <mergeCell ref="B100:D100"/>
    <mergeCell ref="B113:D113"/>
    <mergeCell ref="B114:D114"/>
    <mergeCell ref="B115:D115"/>
    <mergeCell ref="B116:D116"/>
    <mergeCell ref="B117:D117"/>
    <mergeCell ref="B118:D118"/>
    <mergeCell ref="B107:D107"/>
    <mergeCell ref="B108:D108"/>
    <mergeCell ref="B109:D109"/>
    <mergeCell ref="B110:D110"/>
    <mergeCell ref="B111:D111"/>
    <mergeCell ref="B112:D112"/>
    <mergeCell ref="B123:D123"/>
    <mergeCell ref="B124:D124"/>
    <mergeCell ref="B125:D125"/>
    <mergeCell ref="B126:D126"/>
    <mergeCell ref="B127:D127"/>
    <mergeCell ref="B128:D128"/>
    <mergeCell ref="B119:P120"/>
    <mergeCell ref="B121:D122"/>
    <mergeCell ref="E121:E122"/>
    <mergeCell ref="F121:F122"/>
    <mergeCell ref="G121:K121"/>
    <mergeCell ref="L121:L122"/>
    <mergeCell ref="M121:M122"/>
    <mergeCell ref="N121:N122"/>
    <mergeCell ref="O121:O122"/>
    <mergeCell ref="P121:P122"/>
    <mergeCell ref="B135:D135"/>
    <mergeCell ref="B136:D136"/>
    <mergeCell ref="B137:D137"/>
    <mergeCell ref="B138:D138"/>
    <mergeCell ref="B139:D139"/>
    <mergeCell ref="B140:E140"/>
    <mergeCell ref="B129:D129"/>
    <mergeCell ref="B130:D130"/>
    <mergeCell ref="B131:D131"/>
    <mergeCell ref="B132:D132"/>
    <mergeCell ref="B133:D133"/>
    <mergeCell ref="B134:D134"/>
    <mergeCell ref="B145:E145"/>
    <mergeCell ref="F145:N145"/>
    <mergeCell ref="O145:P145"/>
    <mergeCell ref="B146:E146"/>
    <mergeCell ref="F146:N146"/>
    <mergeCell ref="O146:P146"/>
    <mergeCell ref="I140:J140"/>
    <mergeCell ref="B141:E141"/>
    <mergeCell ref="I141:J141"/>
    <mergeCell ref="B142:E142"/>
    <mergeCell ref="I142:J142"/>
    <mergeCell ref="B143:E143"/>
    <mergeCell ref="F143:O143"/>
  </mergeCells>
  <printOptions/>
  <pageMargins left="0" right="0" top="0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2017-01-11T09:24:25Z</cp:lastPrinted>
  <dcterms:created xsi:type="dcterms:W3CDTF">2016-02-03T06:12:52Z</dcterms:created>
  <dcterms:modified xsi:type="dcterms:W3CDTF">2017-11-02T11:08:31Z</dcterms:modified>
  <cp:category/>
  <cp:version/>
  <cp:contentType/>
  <cp:contentStatus/>
</cp:coreProperties>
</file>