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0" windowWidth="21075" windowHeight="8955" activeTab="7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АВГУСТ 2017" sheetId="8" r:id="rId8"/>
    <sheet name="СЕНТЯБРЬ 2017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<sst xmlns="http://schemas.openxmlformats.org/spreadsheetml/2006/main" count="2855" uniqueCount="252">
  <si>
    <t>ФИНАНСОВЫЙ ОТЧЕТ</t>
  </si>
  <si>
    <t xml:space="preserve">                                                                                                                     ЧОУРО "Православная гимназия" </t>
  </si>
  <si>
    <t xml:space="preserve">        (наименование гимназии)</t>
  </si>
  <si>
    <t>Денежные средства на начало периода</t>
  </si>
  <si>
    <t>целевые поступления (Церковь, Епархия)</t>
  </si>
  <si>
    <t>средства, получаемые из бюджета</t>
  </si>
  <si>
    <t>благотворительная помощь</t>
  </si>
  <si>
    <t>добровольное пожертвование</t>
  </si>
  <si>
    <t>прочие поступления</t>
  </si>
  <si>
    <t>возмещение ФСС</t>
  </si>
  <si>
    <t>школа буд.первоклассника</t>
  </si>
  <si>
    <t>Прочие поступления.Возмещения</t>
  </si>
  <si>
    <t>в т.ч. касса</t>
  </si>
  <si>
    <t>расчетный счет</t>
  </si>
  <si>
    <t xml:space="preserve">Наименование </t>
  </si>
  <si>
    <t xml:space="preserve">Отчетный месяц                                                                                            </t>
  </si>
  <si>
    <t>нарастающим с начало года</t>
  </si>
  <si>
    <t>отклонения</t>
  </si>
  <si>
    <t>отклонение  (с начало года)</t>
  </si>
  <si>
    <t xml:space="preserve">кредит-кая задол. на начало месяца         </t>
  </si>
  <si>
    <t xml:space="preserve">кредит-кая задол. на конец месяца           </t>
  </si>
  <si>
    <t>1</t>
  </si>
  <si>
    <t>2</t>
  </si>
  <si>
    <t xml:space="preserve">ВСЕГО </t>
  </si>
  <si>
    <t>план (месяц)</t>
  </si>
  <si>
    <t>план с начала года</t>
  </si>
  <si>
    <t>факт</t>
  </si>
  <si>
    <t>ИТОГО</t>
  </si>
  <si>
    <t>месяц</t>
  </si>
  <si>
    <t>А</t>
  </si>
  <si>
    <t>Целеые поступления(Церковь,Епархия)</t>
  </si>
  <si>
    <t>Б</t>
  </si>
  <si>
    <t>Средства, получаемые из бюджета (субвенция)</t>
  </si>
  <si>
    <t>В</t>
  </si>
  <si>
    <t>Благотворительная помощь</t>
  </si>
  <si>
    <t>Г</t>
  </si>
  <si>
    <t>Субсидия из местного бюджета на оплату коммунальных услуг</t>
  </si>
  <si>
    <t>Д</t>
  </si>
  <si>
    <t>Платные услуги</t>
  </si>
  <si>
    <t>Е</t>
  </si>
  <si>
    <t>Прочие услуги (возмещение)</t>
  </si>
  <si>
    <t>Ж</t>
  </si>
  <si>
    <t>Питание  детей</t>
  </si>
  <si>
    <t>Расходы</t>
  </si>
  <si>
    <t>отчетный месяц       (факт)</t>
  </si>
  <si>
    <t>целевые поступления (епархия)</t>
  </si>
  <si>
    <t>субвенция</t>
  </si>
  <si>
    <t>благотворительная помощь,добровольное пожертвование</t>
  </si>
  <si>
    <t>прочие поступления, возмещения</t>
  </si>
  <si>
    <t>Заработная плата</t>
  </si>
  <si>
    <t>1.А.</t>
  </si>
  <si>
    <t>в т. ч. за счет субвенции</t>
  </si>
  <si>
    <t>1.Б.</t>
  </si>
  <si>
    <t>в т. ч. за счет целевых поступлений</t>
  </si>
  <si>
    <t>1.Д.</t>
  </si>
  <si>
    <t>в т. ч. за счет платных услуг</t>
  </si>
  <si>
    <t>Начисления на оплату труда</t>
  </si>
  <si>
    <t>2.А.</t>
  </si>
  <si>
    <t>2.Б.</t>
  </si>
  <si>
    <t>2.Д.</t>
  </si>
  <si>
    <t>3</t>
  </si>
  <si>
    <t>Услуги связи в том числе:</t>
  </si>
  <si>
    <t>3.А.</t>
  </si>
  <si>
    <t>3.Б.</t>
  </si>
  <si>
    <t>3.1</t>
  </si>
  <si>
    <t>телефон</t>
  </si>
  <si>
    <t>3.2</t>
  </si>
  <si>
    <t>интернет</t>
  </si>
  <si>
    <t>3.3</t>
  </si>
  <si>
    <t>4</t>
  </si>
  <si>
    <t>Транспортные услуги ( в том числе)</t>
  </si>
  <si>
    <t>4.А.</t>
  </si>
  <si>
    <t>4.Б.</t>
  </si>
  <si>
    <t>4.Д.</t>
  </si>
  <si>
    <t>4.1</t>
  </si>
  <si>
    <t>проезд в случае служебных командировок</t>
  </si>
  <si>
    <t>4.2</t>
  </si>
  <si>
    <t>проезд на курсы повышения квалификации</t>
  </si>
  <si>
    <t>4.3</t>
  </si>
  <si>
    <t>оплата  доставки груза</t>
  </si>
  <si>
    <t>5</t>
  </si>
  <si>
    <t>Оплата ГСМ , техосмотр, страховка, запчасти</t>
  </si>
  <si>
    <t>5.А.</t>
  </si>
  <si>
    <t>5.Д.</t>
  </si>
  <si>
    <t>6</t>
  </si>
  <si>
    <t>Коммунальные услуги (согласно договоров) в том числе:</t>
  </si>
  <si>
    <t>6.А.</t>
  </si>
  <si>
    <t>6.Г.</t>
  </si>
  <si>
    <t>в т. ч. за счет субсидии из бюджета</t>
  </si>
  <si>
    <t>6.Д.</t>
  </si>
  <si>
    <t>6.Е.</t>
  </si>
  <si>
    <t>6.1</t>
  </si>
  <si>
    <t>Оплата потребления электроэнергии</t>
  </si>
  <si>
    <t>6.2</t>
  </si>
  <si>
    <t>Оплата теплоэнергии</t>
  </si>
  <si>
    <t>Оплата  потребления газа</t>
  </si>
  <si>
    <t>6.4</t>
  </si>
  <si>
    <t>Оплата за канализацию</t>
  </si>
  <si>
    <t>6.5</t>
  </si>
  <si>
    <t>Оплата водоснабжения помещений</t>
  </si>
  <si>
    <t>7</t>
  </si>
  <si>
    <t>Приобр. школьного и церковного инвентаря</t>
  </si>
  <si>
    <t>7.А.</t>
  </si>
  <si>
    <t>7.В.</t>
  </si>
  <si>
    <t>в т. ч. за счет благотворительной помощи</t>
  </si>
  <si>
    <t>8</t>
  </si>
  <si>
    <t>Приобретение оборудования,оргтехники</t>
  </si>
  <si>
    <t>8.А.</t>
  </si>
  <si>
    <t>8.В.</t>
  </si>
  <si>
    <t>8.Д.</t>
  </si>
  <si>
    <t>9</t>
  </si>
  <si>
    <t>Приобр. канцтоваров</t>
  </si>
  <si>
    <t>10</t>
  </si>
  <si>
    <t>Хозинвентарь, инвентарь и моющие средства</t>
  </si>
  <si>
    <t>10.А.</t>
  </si>
  <si>
    <t>10.В.</t>
  </si>
  <si>
    <t>10.Д.</t>
  </si>
  <si>
    <t>11</t>
  </si>
  <si>
    <t>Медикаменты, перевяз.ср-ва и прочие лечебные расходы</t>
  </si>
  <si>
    <t>11.А.</t>
  </si>
  <si>
    <t>12</t>
  </si>
  <si>
    <t xml:space="preserve">Подписка </t>
  </si>
  <si>
    <t>12.А.</t>
  </si>
  <si>
    <t>12.Д.</t>
  </si>
  <si>
    <t xml:space="preserve">прочие поступления, возмещение </t>
  </si>
  <si>
    <t>13</t>
  </si>
  <si>
    <t>Остальные расходы (согласно  договоров) в том числе:</t>
  </si>
  <si>
    <t>13.А.</t>
  </si>
  <si>
    <t>13.Б.</t>
  </si>
  <si>
    <t>13.В.</t>
  </si>
  <si>
    <t>13.Д.</t>
  </si>
  <si>
    <t>13.1</t>
  </si>
  <si>
    <t>услуги охраны</t>
  </si>
  <si>
    <t>13.2</t>
  </si>
  <si>
    <t>ТО электрооборуд.и электросетей</t>
  </si>
  <si>
    <t>13.3</t>
  </si>
  <si>
    <t>Обслуживание, содержание  здания</t>
  </si>
  <si>
    <t>13.4</t>
  </si>
  <si>
    <t>дератизация и дезинфекция</t>
  </si>
  <si>
    <t>13.5</t>
  </si>
  <si>
    <t>оплата услуг банка</t>
  </si>
  <si>
    <t>13.6</t>
  </si>
  <si>
    <t>оплата пож сигнализации</t>
  </si>
  <si>
    <t>13.7</t>
  </si>
  <si>
    <t>Обслуживание копмпьют программ</t>
  </si>
  <si>
    <t>13.8</t>
  </si>
  <si>
    <t>вывоз мусора</t>
  </si>
  <si>
    <t>14</t>
  </si>
  <si>
    <t>Прочие расходы в том числе:</t>
  </si>
  <si>
    <t>14.А.</t>
  </si>
  <si>
    <t>14.Б.</t>
  </si>
  <si>
    <t>14.В.</t>
  </si>
  <si>
    <t>14.Д.</t>
  </si>
  <si>
    <t>14.1</t>
  </si>
  <si>
    <t>Повышение квалификации</t>
  </si>
  <si>
    <t>14.2</t>
  </si>
  <si>
    <t>Приобретение огнетушителей</t>
  </si>
  <si>
    <t>14.3</t>
  </si>
  <si>
    <t>установка охранной сигнализации</t>
  </si>
  <si>
    <t>14.4</t>
  </si>
  <si>
    <t>установка мини АТС</t>
  </si>
  <si>
    <t>14.5</t>
  </si>
  <si>
    <t>Аккредитация, лицензирование</t>
  </si>
  <si>
    <t>14.6</t>
  </si>
  <si>
    <t>Командировочные (суточные)</t>
  </si>
  <si>
    <t>14.7</t>
  </si>
  <si>
    <t>услуги СЭС, метролог, осмотр столовой</t>
  </si>
  <si>
    <t>14.8</t>
  </si>
  <si>
    <t>медосмотр</t>
  </si>
  <si>
    <t>14.9</t>
  </si>
  <si>
    <t>обслуживание оргтехнники, заправка картриджей, комплектующие</t>
  </si>
  <si>
    <t>14.10</t>
  </si>
  <si>
    <t>Опрессовка,промывка, поверка весов</t>
  </si>
  <si>
    <t>14.11</t>
  </si>
  <si>
    <t>установка,модернизация пож сигнализации</t>
  </si>
  <si>
    <t>Экспертные услуги по образовательным программам</t>
  </si>
  <si>
    <t>14.12</t>
  </si>
  <si>
    <t>Налоги в бюджет,пени, штрафы</t>
  </si>
  <si>
    <t>14.13.1.</t>
  </si>
  <si>
    <t>Установка программного обеспечения</t>
  </si>
  <si>
    <t>14.14</t>
  </si>
  <si>
    <t>Обеспечение питьевой  водой</t>
  </si>
  <si>
    <t>14.15</t>
  </si>
  <si>
    <t xml:space="preserve">Утилизация ртутных ламп </t>
  </si>
  <si>
    <t>14.16</t>
  </si>
  <si>
    <t>Установка видеонаблюдения, школьного звонка</t>
  </si>
  <si>
    <t>14.17</t>
  </si>
  <si>
    <t>Приобретение учебников, наглядных пособий</t>
  </si>
  <si>
    <t>14.17.1</t>
  </si>
  <si>
    <t>Приобретение учебн.,наглядных пособий (субвенция)</t>
  </si>
  <si>
    <t>14.18</t>
  </si>
  <si>
    <t>Оформление технической документации</t>
  </si>
  <si>
    <t>14.19</t>
  </si>
  <si>
    <t>Обслуживание. Содержание школьной территории</t>
  </si>
  <si>
    <t>Текущий ремонт здания и оборуд</t>
  </si>
  <si>
    <t>15.А.</t>
  </si>
  <si>
    <t>15.В.</t>
  </si>
  <si>
    <t>Капитальный ремонт здания</t>
  </si>
  <si>
    <t>16.А.</t>
  </si>
  <si>
    <t>16.В.</t>
  </si>
  <si>
    <t>Организация летнего отдыха, организация праздника</t>
  </si>
  <si>
    <t>17.А.</t>
  </si>
  <si>
    <t>17.В.</t>
  </si>
  <si>
    <t>Денежные средства на конец периода</t>
  </si>
  <si>
    <t>Директор гимназии</t>
  </si>
  <si>
    <t>/М.А.Федоровская</t>
  </si>
  <si>
    <t>Бухгалтер</t>
  </si>
  <si>
    <t>/Е.В.Григорьева</t>
  </si>
  <si>
    <t>обслуживание сайта</t>
  </si>
  <si>
    <t>Приобретение оборудования,оргтехник</t>
  </si>
  <si>
    <t>юб</t>
  </si>
  <si>
    <t>Остаток на 01 января 2017 г</t>
  </si>
  <si>
    <t xml:space="preserve">          за   ЯНВАРЬ  месяц   2017  года</t>
  </si>
  <si>
    <t>14.20</t>
  </si>
  <si>
    <t>Содержание храма</t>
  </si>
  <si>
    <t>Остаток на 01 февраля 2017г</t>
  </si>
  <si>
    <t xml:space="preserve">          за   ФЕВРАЛЬ  месяц   2017  года</t>
  </si>
  <si>
    <t>Остаток на 01 февраля 2017 г</t>
  </si>
  <si>
    <t>Обслуживание и содержание  здания , школьной территории</t>
  </si>
  <si>
    <t>Остаток на 01 марта 2017г</t>
  </si>
  <si>
    <t>установка охранно-пожарной сигнализации</t>
  </si>
  <si>
    <t>в т. ч. за сч.платн. услуг</t>
  </si>
  <si>
    <t>в т. ч. за счет благотвор. помощи</t>
  </si>
  <si>
    <t xml:space="preserve">          за   МАРТ месяц   2017  года</t>
  </si>
  <si>
    <t>Остаток на 01 март 2017 г</t>
  </si>
  <si>
    <t>Остаток на 01 апреля 2017г</t>
  </si>
  <si>
    <t xml:space="preserve">          за АПРЕЛЬ  месяц   2017  года</t>
  </si>
  <si>
    <t>Остаток на 01 апреля 2017 г</t>
  </si>
  <si>
    <t>Суб. из мест. б-та на оплату комм. услуг</t>
  </si>
  <si>
    <t>14.20.</t>
  </si>
  <si>
    <t>Остаток на 01 мая 2017г</t>
  </si>
  <si>
    <t>Остаток на 01 мая 2017 г</t>
  </si>
  <si>
    <t>Обслуживание храма</t>
  </si>
  <si>
    <t>Субсидия из местного бюджета на опл. Коммун. услуг</t>
  </si>
  <si>
    <t>Остаток на 01 июня 2017г</t>
  </si>
  <si>
    <t>Суб-я  на оплату коммунальных услуг</t>
  </si>
  <si>
    <t xml:space="preserve">          за ИЮНЬ  месяц   2017  года</t>
  </si>
  <si>
    <t xml:space="preserve">          за МАЙ  месяц   2017  года</t>
  </si>
  <si>
    <t>Остаток на 01 июня 2017 г</t>
  </si>
  <si>
    <t>Остаток на 01 августа 2017г</t>
  </si>
  <si>
    <t xml:space="preserve">          за ИЮЛЬ  месяц   2017  года</t>
  </si>
  <si>
    <t>Остаток на 01 июля 2017 г</t>
  </si>
  <si>
    <t>Остаток на 01 июля 2017г</t>
  </si>
  <si>
    <t>Суб. из мест. б-та на оплату комм. Услуг</t>
  </si>
  <si>
    <t>Противопожарные мероприятия</t>
  </si>
  <si>
    <t xml:space="preserve">          за АВГУСТ  месяц   2017  года</t>
  </si>
  <si>
    <t>Остаток на 01 августа 2017 г</t>
  </si>
  <si>
    <t>Остаток на 01  сентября 2017г</t>
  </si>
  <si>
    <t xml:space="preserve">          за СЕНТЯБРЬ  месяц   2017  года</t>
  </si>
  <si>
    <t>Остаток на 01 сентябрь 2017 г</t>
  </si>
  <si>
    <t>ост. Расх</t>
  </si>
  <si>
    <t>Остаток на 01 октября 2017г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</si>
</sst>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Lucida Sans Unicode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.6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0" applyFont="1" applyAlignment="1">
      <alignment/>
    </xf>
    <xf numFmtId="49" fontId="4" fillId="0" borderId="10" xfId="52" applyNumberFormat="1" applyFont="1" applyBorder="1" applyAlignment="1">
      <alignment vertical="center" wrapText="1"/>
      <protection/>
    </xf>
    <xf numFmtId="2" fontId="4" fillId="33" borderId="10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49" fontId="4" fillId="0" borderId="12" xfId="52" applyNumberFormat="1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" fontId="4" fillId="0" borderId="10" xfId="55" applyNumberFormat="1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164" fontId="4" fillId="33" borderId="11" xfId="53" applyNumberFormat="1" applyFont="1" applyFill="1" applyBorder="1" applyAlignment="1">
      <alignment vertical="center"/>
      <protection/>
    </xf>
    <xf numFmtId="4" fontId="4" fillId="33" borderId="10" xfId="55" applyNumberFormat="1" applyFont="1" applyFill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4" xfId="55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3" fontId="4" fillId="0" borderId="16" xfId="52" applyNumberFormat="1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Alignment="1">
      <alignment vertical="center" wrapText="1"/>
      <protection/>
    </xf>
    <xf numFmtId="4" fontId="6" fillId="33" borderId="10" xfId="52" applyNumberFormat="1" applyFont="1" applyFill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2" fontId="6" fillId="33" borderId="10" xfId="52" applyNumberFormat="1" applyFont="1" applyFill="1" applyBorder="1" applyAlignment="1">
      <alignment vertical="center" wrapText="1"/>
      <protection/>
    </xf>
    <xf numFmtId="0" fontId="4" fillId="0" borderId="18" xfId="52" applyNumberFormat="1" applyFont="1" applyBorder="1" applyAlignment="1">
      <alignment horizontal="right" vertical="center" wrapText="1"/>
      <protection/>
    </xf>
    <xf numFmtId="4" fontId="4" fillId="33" borderId="10" xfId="53" applyNumberFormat="1" applyFont="1" applyFill="1" applyBorder="1" applyAlignment="1">
      <alignment horizontal="right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>
      <alignment vertical="center" wrapText="1"/>
      <protection/>
    </xf>
    <xf numFmtId="2" fontId="4" fillId="33" borderId="13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4" fontId="4" fillId="33" borderId="10" xfId="52" applyNumberFormat="1" applyFont="1" applyFill="1" applyBorder="1" applyAlignment="1">
      <alignment vertical="center" wrapText="1"/>
      <protection/>
    </xf>
    <xf numFmtId="2" fontId="4" fillId="0" borderId="0" xfId="52" applyNumberFormat="1" applyFont="1">
      <alignment/>
      <protection/>
    </xf>
    <xf numFmtId="0" fontId="4" fillId="0" borderId="19" xfId="52" applyNumberFormat="1" applyFont="1" applyBorder="1" applyAlignment="1">
      <alignment horizontal="right" vertical="center" wrapText="1"/>
      <protection/>
    </xf>
    <xf numFmtId="4" fontId="4" fillId="0" borderId="10" xfId="53" applyNumberFormat="1" applyFont="1" applyFill="1" applyBorder="1" applyAlignment="1">
      <alignment vertical="center" wrapText="1"/>
      <protection/>
    </xf>
    <xf numFmtId="4" fontId="4" fillId="33" borderId="20" xfId="52" applyNumberFormat="1" applyFont="1" applyFill="1" applyBorder="1" applyAlignment="1">
      <alignment vertical="center" wrapText="1"/>
      <protection/>
    </xf>
    <xf numFmtId="0" fontId="4" fillId="0" borderId="21" xfId="52" applyNumberFormat="1" applyFont="1" applyBorder="1" applyAlignment="1">
      <alignment horizontal="right" vertical="center" wrapText="1"/>
      <protection/>
    </xf>
    <xf numFmtId="4" fontId="4" fillId="0" borderId="17" xfId="53" applyNumberFormat="1" applyFont="1" applyFill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4" fontId="7" fillId="0" borderId="11" xfId="53" applyNumberFormat="1" applyFont="1" applyFill="1" applyBorder="1" applyAlignment="1">
      <alignment vertical="center" wrapText="1"/>
      <protection/>
    </xf>
    <xf numFmtId="4" fontId="4" fillId="33" borderId="10" xfId="53" applyNumberFormat="1" applyFont="1" applyFill="1" applyBorder="1" applyAlignment="1">
      <alignment vertical="center" wrapText="1"/>
      <protection/>
    </xf>
    <xf numFmtId="2" fontId="4" fillId="33" borderId="10" xfId="52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3" fontId="4" fillId="0" borderId="17" xfId="55" applyNumberFormat="1" applyFont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right" vertical="center" wrapText="1"/>
      <protection/>
    </xf>
    <xf numFmtId="2" fontId="6" fillId="0" borderId="10" xfId="52" applyNumberFormat="1" applyFont="1" applyBorder="1" applyAlignment="1">
      <alignment horizontal="right" vertical="center" wrapText="1"/>
      <protection/>
    </xf>
    <xf numFmtId="49" fontId="6" fillId="0" borderId="10" xfId="53" applyNumberFormat="1" applyFont="1" applyBorder="1" applyAlignment="1">
      <alignment horizontal="right"/>
      <protection/>
    </xf>
    <xf numFmtId="4" fontId="6" fillId="33" borderId="11" xfId="53" applyNumberFormat="1" applyFont="1" applyFill="1" applyBorder="1" applyAlignment="1">
      <alignment vertical="center" wrapText="1"/>
      <protection/>
    </xf>
    <xf numFmtId="4" fontId="6" fillId="33" borderId="10" xfId="53" applyNumberFormat="1" applyFont="1" applyFill="1" applyBorder="1" applyAlignment="1">
      <alignment vertical="center" wrapText="1"/>
      <protection/>
    </xf>
    <xf numFmtId="2" fontId="6" fillId="33" borderId="10" xfId="52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vertical="center" wrapText="1"/>
      <protection/>
    </xf>
    <xf numFmtId="2" fontId="6" fillId="33" borderId="13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/>
    </xf>
    <xf numFmtId="2" fontId="6" fillId="34" borderId="11" xfId="53" applyNumberFormat="1" applyFont="1" applyFill="1" applyBorder="1" applyAlignment="1">
      <alignment vertical="center" wrapText="1"/>
      <protection/>
    </xf>
    <xf numFmtId="2" fontId="6" fillId="34" borderId="10" xfId="53" applyNumberFormat="1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right"/>
      <protection/>
    </xf>
    <xf numFmtId="4" fontId="4" fillId="0" borderId="11" xfId="54" applyNumberFormat="1" applyFont="1" applyBorder="1" applyAlignment="1">
      <alignment wrapText="1"/>
      <protection/>
    </xf>
    <xf numFmtId="2" fontId="4" fillId="33" borderId="10" xfId="52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/>
    </xf>
    <xf numFmtId="2" fontId="4" fillId="34" borderId="11" xfId="53" applyNumberFormat="1" applyFont="1" applyFill="1" applyBorder="1" applyAlignment="1">
      <alignment vertical="center" wrapText="1"/>
      <protection/>
    </xf>
    <xf numFmtId="2" fontId="4" fillId="34" borderId="10" xfId="53" applyNumberFormat="1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wrapText="1"/>
      <protection/>
    </xf>
    <xf numFmtId="2" fontId="4" fillId="33" borderId="13" xfId="52" applyNumberFormat="1" applyFont="1" applyFill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right" vertical="center"/>
      <protection/>
    </xf>
    <xf numFmtId="49" fontId="6" fillId="0" borderId="10" xfId="53" applyNumberFormat="1" applyFont="1" applyBorder="1" applyAlignment="1">
      <alignment horizontal="right" vertical="center"/>
      <protection/>
    </xf>
    <xf numFmtId="2" fontId="6" fillId="0" borderId="10" xfId="0" applyNumberFormat="1" applyFont="1" applyBorder="1" applyAlignment="1">
      <alignment vertical="center"/>
    </xf>
    <xf numFmtId="4" fontId="2" fillId="0" borderId="0" xfId="52" applyNumberFormat="1" applyFont="1">
      <alignment/>
      <protection/>
    </xf>
    <xf numFmtId="2" fontId="4" fillId="0" borderId="10" xfId="52" applyNumberFormat="1" applyFont="1" applyBorder="1">
      <alignment/>
      <protection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right" vertical="center" wrapText="1"/>
      <protection/>
    </xf>
    <xf numFmtId="0" fontId="4" fillId="0" borderId="11" xfId="54" applyFont="1" applyBorder="1" applyAlignment="1">
      <alignment wrapText="1"/>
      <protection/>
    </xf>
    <xf numFmtId="0" fontId="4" fillId="34" borderId="13" xfId="53" applyFont="1" applyFill="1" applyBorder="1" applyAlignment="1">
      <alignment/>
      <protection/>
    </xf>
    <xf numFmtId="0" fontId="4" fillId="0" borderId="22" xfId="54" applyFont="1" applyBorder="1" applyAlignment="1">
      <alignment/>
      <protection/>
    </xf>
    <xf numFmtId="0" fontId="4" fillId="0" borderId="10" xfId="54" applyFont="1" applyBorder="1" applyAlignment="1">
      <alignment wrapText="1"/>
      <protection/>
    </xf>
    <xf numFmtId="2" fontId="2" fillId="0" borderId="0" xfId="52" applyNumberFormat="1" applyFont="1">
      <alignment/>
      <protection/>
    </xf>
    <xf numFmtId="4" fontId="4" fillId="0" borderId="11" xfId="54" applyNumberFormat="1" applyFont="1" applyBorder="1" applyAlignment="1">
      <alignment/>
      <protection/>
    </xf>
    <xf numFmtId="4" fontId="4" fillId="0" borderId="10" xfId="54" applyNumberFormat="1" applyFont="1" applyBorder="1" applyAlignment="1">
      <alignment wrapText="1"/>
      <protection/>
    </xf>
    <xf numFmtId="2" fontId="49" fillId="0" borderId="10" xfId="0" applyNumberFormat="1" applyFont="1" applyBorder="1" applyAlignment="1">
      <alignment/>
    </xf>
    <xf numFmtId="2" fontId="9" fillId="33" borderId="10" xfId="53" applyNumberFormat="1" applyFont="1" applyFill="1" applyBorder="1" applyAlignment="1">
      <alignment horizontal="right" vertical="center" wrapText="1"/>
      <protection/>
    </xf>
    <xf numFmtId="2" fontId="49" fillId="0" borderId="0" xfId="0" applyNumberFormat="1" applyFont="1" applyAlignment="1">
      <alignment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/>
      <protection/>
    </xf>
    <xf numFmtId="2" fontId="4" fillId="33" borderId="15" xfId="53" applyNumberFormat="1" applyFont="1" applyFill="1" applyBorder="1" applyAlignment="1">
      <alignment horizontal="right" vertical="center" wrapText="1"/>
      <protection/>
    </xf>
    <xf numFmtId="2" fontId="4" fillId="33" borderId="23" xfId="53" applyNumberFormat="1" applyFont="1" applyFill="1" applyBorder="1" applyAlignment="1">
      <alignment vertical="center" wrapText="1"/>
      <protection/>
    </xf>
    <xf numFmtId="2" fontId="4" fillId="33" borderId="15" xfId="53" applyNumberFormat="1" applyFont="1" applyFill="1" applyBorder="1" applyAlignment="1">
      <alignment vertical="center" wrapText="1"/>
      <protection/>
    </xf>
    <xf numFmtId="2" fontId="4" fillId="33" borderId="22" xfId="53" applyNumberFormat="1" applyFont="1" applyFill="1" applyBorder="1" applyAlignment="1">
      <alignment vertical="center" wrapText="1"/>
      <protection/>
    </xf>
    <xf numFmtId="4" fontId="6" fillId="33" borderId="13" xfId="53" applyNumberFormat="1" applyFont="1" applyFill="1" applyBorder="1" applyAlignment="1">
      <alignment vertical="center" wrapText="1"/>
      <protection/>
    </xf>
    <xf numFmtId="4" fontId="4" fillId="33" borderId="13" xfId="53" applyNumberFormat="1" applyFont="1" applyFill="1" applyBorder="1" applyAlignment="1">
      <alignment vertical="center" wrapText="1"/>
      <protection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4" fillId="0" borderId="15" xfId="53" applyNumberFormat="1" applyFont="1" applyBorder="1" applyAlignment="1">
      <alignment horizontal="right"/>
      <protection/>
    </xf>
    <xf numFmtId="49" fontId="4" fillId="0" borderId="24" xfId="53" applyNumberFormat="1" applyFont="1" applyBorder="1" applyAlignment="1">
      <alignment horizontal="right"/>
      <protection/>
    </xf>
    <xf numFmtId="49" fontId="4" fillId="0" borderId="25" xfId="53" applyNumberFormat="1" applyFont="1" applyBorder="1" applyAlignment="1">
      <alignment horizontal="right"/>
      <protection/>
    </xf>
    <xf numFmtId="49" fontId="4" fillId="0" borderId="12" xfId="53" applyNumberFormat="1" applyFont="1" applyBorder="1" applyAlignment="1">
      <alignment horizontal="right"/>
      <protection/>
    </xf>
    <xf numFmtId="49" fontId="4" fillId="0" borderId="17" xfId="52" applyNumberFormat="1" applyFont="1" applyBorder="1" applyAlignment="1">
      <alignment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" fontId="9" fillId="0" borderId="10" xfId="55" applyNumberFormat="1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vertical="center" wrapText="1"/>
      <protection/>
    </xf>
    <xf numFmtId="49" fontId="12" fillId="0" borderId="15" xfId="52" applyNumberFormat="1" applyFont="1" applyBorder="1" applyAlignment="1">
      <alignment horizontal="right" vertical="center" wrapText="1"/>
      <protection/>
    </xf>
    <xf numFmtId="49" fontId="12" fillId="0" borderId="27" xfId="52" applyNumberFormat="1" applyFont="1" applyBorder="1" applyAlignment="1">
      <alignment horizontal="right" vertical="center" wrapText="1"/>
      <protection/>
    </xf>
    <xf numFmtId="49" fontId="4" fillId="0" borderId="10" xfId="52" applyNumberFormat="1" applyFont="1" applyBorder="1" applyAlignment="1">
      <alignment horizontal="right" vertical="center" wrapText="1"/>
      <protection/>
    </xf>
    <xf numFmtId="49" fontId="4" fillId="0" borderId="28" xfId="52" applyNumberFormat="1" applyFont="1" applyBorder="1" applyAlignment="1">
      <alignment horizontal="right" vertical="center" wrapText="1"/>
      <protection/>
    </xf>
    <xf numFmtId="0" fontId="6" fillId="0" borderId="28" xfId="52" applyFont="1" applyBorder="1">
      <alignment/>
      <protection/>
    </xf>
    <xf numFmtId="0" fontId="6" fillId="0" borderId="29" xfId="52" applyFont="1" applyBorder="1">
      <alignment/>
      <protection/>
    </xf>
    <xf numFmtId="0" fontId="4" fillId="0" borderId="28" xfId="52" applyFont="1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vertical="center" wrapText="1"/>
      <protection/>
    </xf>
    <xf numFmtId="0" fontId="4" fillId="0" borderId="30" xfId="55" applyFont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29" xfId="52" applyFont="1" applyBorder="1">
      <alignment/>
      <protection/>
    </xf>
    <xf numFmtId="2" fontId="4" fillId="33" borderId="16" xfId="55" applyNumberFormat="1" applyFont="1" applyFill="1" applyBorder="1" applyAlignment="1">
      <alignment vertical="center" wrapText="1"/>
      <protection/>
    </xf>
    <xf numFmtId="4" fontId="4" fillId="33" borderId="11" xfId="55" applyNumberFormat="1" applyFont="1" applyFill="1" applyBorder="1" applyAlignment="1">
      <alignment vertical="center" wrapText="1"/>
      <protection/>
    </xf>
    <xf numFmtId="0" fontId="4" fillId="0" borderId="10" xfId="52" applyFont="1" applyBorder="1">
      <alignment/>
      <protection/>
    </xf>
    <xf numFmtId="0" fontId="4" fillId="0" borderId="27" xfId="52" applyFont="1" applyBorder="1">
      <alignment/>
      <protection/>
    </xf>
    <xf numFmtId="2" fontId="4" fillId="33" borderId="17" xfId="55" applyNumberFormat="1" applyFont="1" applyFill="1" applyBorder="1" applyAlignment="1">
      <alignment vertical="center" wrapText="1"/>
      <protection/>
    </xf>
    <xf numFmtId="0" fontId="4" fillId="0" borderId="0" xfId="55" applyFont="1" applyBorder="1" applyAlignment="1">
      <alignment vertic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4" fontId="4" fillId="33" borderId="0" xfId="55" applyNumberFormat="1" applyFont="1" applyFill="1" applyBorder="1" applyAlignment="1">
      <alignment vertical="center" wrapText="1"/>
      <protection/>
    </xf>
    <xf numFmtId="0" fontId="4" fillId="33" borderId="23" xfId="55" applyFont="1" applyFill="1" applyBorder="1" applyAlignment="1">
      <alignment vertical="center" wrapText="1"/>
      <protection/>
    </xf>
    <xf numFmtId="2" fontId="4" fillId="33" borderId="23" xfId="55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2" fontId="4" fillId="0" borderId="0" xfId="52" applyNumberFormat="1" applyFont="1" applyAlignment="1">
      <alignment vertical="center" wrapText="1"/>
      <protection/>
    </xf>
    <xf numFmtId="4" fontId="4" fillId="0" borderId="0" xfId="52" applyNumberFormat="1" applyFont="1" applyAlignment="1">
      <alignment vertical="center" wrapText="1"/>
      <protection/>
    </xf>
    <xf numFmtId="0" fontId="14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3" fontId="4" fillId="33" borderId="15" xfId="53" applyNumberFormat="1" applyFont="1" applyFill="1" applyBorder="1" applyAlignment="1">
      <alignment vertical="center" wrapText="1"/>
      <protection/>
    </xf>
    <xf numFmtId="3" fontId="4" fillId="33" borderId="10" xfId="53" applyNumberFormat="1" applyFont="1" applyFill="1" applyBorder="1" applyAlignment="1">
      <alignment vertical="center" wrapText="1"/>
      <protection/>
    </xf>
    <xf numFmtId="3" fontId="4" fillId="34" borderId="17" xfId="53" applyNumberFormat="1" applyFont="1" applyFill="1" applyBorder="1" applyAlignment="1">
      <alignment/>
      <protection/>
    </xf>
    <xf numFmtId="3" fontId="15" fillId="34" borderId="17" xfId="53" applyNumberFormat="1" applyFont="1" applyFill="1" applyBorder="1" applyAlignment="1">
      <alignment/>
      <protection/>
    </xf>
    <xf numFmtId="3" fontId="16" fillId="34" borderId="10" xfId="53" applyNumberFormat="1" applyFont="1" applyFill="1" applyBorder="1" applyAlignment="1">
      <alignment/>
      <protection/>
    </xf>
    <xf numFmtId="3" fontId="15" fillId="34" borderId="10" xfId="53" applyNumberFormat="1" applyFont="1" applyFill="1" applyBorder="1" applyAlignment="1">
      <alignment/>
      <protection/>
    </xf>
    <xf numFmtId="3" fontId="16" fillId="0" borderId="10" xfId="53" applyNumberFormat="1" applyFont="1" applyFill="1" applyBorder="1" applyAlignment="1">
      <alignment vertical="center"/>
      <protection/>
    </xf>
    <xf numFmtId="4" fontId="4" fillId="0" borderId="11" xfId="54" applyNumberFormat="1" applyFont="1" applyBorder="1" applyAlignment="1">
      <alignment vertical="center" wrapText="1"/>
      <protection/>
    </xf>
    <xf numFmtId="3" fontId="16" fillId="34" borderId="10" xfId="53" applyNumberFormat="1" applyFont="1" applyFill="1" applyBorder="1" applyAlignment="1">
      <alignment vertical="center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3" fontId="4" fillId="34" borderId="17" xfId="53" applyNumberFormat="1" applyFont="1" applyFill="1" applyBorder="1" applyAlignment="1">
      <alignment vertical="center"/>
      <protection/>
    </xf>
    <xf numFmtId="3" fontId="15" fillId="34" borderId="17" xfId="53" applyNumberFormat="1" applyFont="1" applyFill="1" applyBorder="1" applyAlignment="1">
      <alignment vertical="center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6" fillId="0" borderId="28" xfId="52" applyFont="1" applyBorder="1" applyAlignment="1">
      <alignment vertical="center"/>
      <protection/>
    </xf>
    <xf numFmtId="0" fontId="6" fillId="0" borderId="29" xfId="52" applyFont="1" applyBorder="1" applyAlignment="1">
      <alignment vertical="center"/>
      <protection/>
    </xf>
    <xf numFmtId="0" fontId="2" fillId="0" borderId="0" xfId="52" applyFont="1">
      <alignment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4" fontId="4" fillId="33" borderId="10" xfId="53" applyNumberFormat="1" applyFont="1" applyFill="1" applyBorder="1" applyAlignment="1">
      <alignment horizontal="right" wrapText="1"/>
      <protection/>
    </xf>
    <xf numFmtId="4" fontId="4" fillId="33" borderId="10" xfId="53" applyNumberFormat="1" applyFont="1" applyFill="1" applyBorder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2" fillId="0" borderId="0" xfId="52" applyNumberFormat="1" applyFont="1">
      <alignment/>
      <protection/>
    </xf>
    <xf numFmtId="4" fontId="4" fillId="0" borderId="11" xfId="54" applyNumberFormat="1" applyFont="1" applyBorder="1" applyAlignment="1">
      <alignment vertical="center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164" fontId="4" fillId="0" borderId="31" xfId="53" applyNumberFormat="1" applyFont="1" applyFill="1" applyBorder="1" applyAlignment="1">
      <alignment vertical="center" wrapText="1"/>
      <protection/>
    </xf>
    <xf numFmtId="164" fontId="4" fillId="0" borderId="10" xfId="53" applyNumberFormat="1" applyFont="1" applyFill="1" applyBorder="1" applyAlignment="1">
      <alignment vertical="center" wrapText="1"/>
      <protection/>
    </xf>
    <xf numFmtId="0" fontId="2" fillId="0" borderId="0" xfId="52" applyFont="1" applyBorder="1">
      <alignment/>
      <protection/>
    </xf>
    <xf numFmtId="164" fontId="4" fillId="0" borderId="12" xfId="53" applyNumberFormat="1" applyFont="1" applyFill="1" applyBorder="1" applyAlignment="1">
      <alignment vertical="center" wrapText="1"/>
      <protection/>
    </xf>
    <xf numFmtId="4" fontId="4" fillId="0" borderId="10" xfId="52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164" fontId="4" fillId="0" borderId="0" xfId="53" applyNumberFormat="1" applyFont="1" applyFill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2" fontId="4" fillId="33" borderId="13" xfId="0" applyNumberFormat="1" applyFont="1" applyFill="1" applyBorder="1" applyAlignment="1">
      <alignment horizontal="right" wrapText="1"/>
    </xf>
    <xf numFmtId="2" fontId="4" fillId="0" borderId="10" xfId="52" applyNumberFormat="1" applyFont="1" applyBorder="1" applyAlignment="1">
      <alignment vertical="center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4" fontId="16" fillId="34" borderId="10" xfId="53" applyNumberFormat="1" applyFont="1" applyFill="1" applyBorder="1" applyAlignment="1">
      <alignment vertical="center"/>
      <protection/>
    </xf>
    <xf numFmtId="0" fontId="4" fillId="0" borderId="13" xfId="55" applyFont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2" fontId="0" fillId="0" borderId="10" xfId="0" applyNumberFormat="1" applyFont="1" applyBorder="1" applyAlignment="1">
      <alignment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vertical="center" wrapText="1"/>
      <protection/>
    </xf>
    <xf numFmtId="164" fontId="9" fillId="0" borderId="10" xfId="53" applyNumberFormat="1" applyFont="1" applyFill="1" applyBorder="1" applyAlignment="1">
      <alignment horizontal="center" vertical="top" wrapText="1"/>
      <protection/>
    </xf>
    <xf numFmtId="0" fontId="4" fillId="0" borderId="22" xfId="55" applyFont="1" applyBorder="1" applyAlignment="1">
      <alignment vertical="center" wrapText="1"/>
      <protection/>
    </xf>
    <xf numFmtId="0" fontId="4" fillId="0" borderId="11" xfId="55" applyFont="1" applyBorder="1" applyAlignment="1">
      <alignment vertical="center" wrapText="1"/>
      <protection/>
    </xf>
    <xf numFmtId="0" fontId="4" fillId="33" borderId="22" xfId="55" applyFont="1" applyFill="1" applyBorder="1" applyAlignment="1">
      <alignment vertical="center" wrapText="1"/>
      <protection/>
    </xf>
    <xf numFmtId="0" fontId="4" fillId="33" borderId="32" xfId="55" applyFont="1" applyFill="1" applyBorder="1" applyAlignment="1">
      <alignment vertical="center" wrapText="1"/>
      <protection/>
    </xf>
    <xf numFmtId="0" fontId="4" fillId="33" borderId="16" xfId="55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22" xfId="52" applyFont="1" applyBorder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22" xfId="53" applyFont="1" applyFill="1" applyBorder="1" applyAlignment="1">
      <alignment horizontal="center" wrapText="1"/>
      <protection/>
    </xf>
    <xf numFmtId="0" fontId="4" fillId="34" borderId="11" xfId="53" applyFont="1" applyFill="1" applyBorder="1" applyAlignment="1">
      <alignment horizontal="center" wrapText="1"/>
      <protection/>
    </xf>
    <xf numFmtId="0" fontId="6" fillId="34" borderId="22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22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right" wrapText="1"/>
      <protection/>
    </xf>
    <xf numFmtId="0" fontId="4" fillId="34" borderId="22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right" wrapText="1"/>
      <protection/>
    </xf>
    <xf numFmtId="0" fontId="4" fillId="34" borderId="13" xfId="53" applyFont="1" applyFill="1" applyBorder="1" applyAlignment="1">
      <alignment horizontal="right" vertical="center" wrapText="1"/>
      <protection/>
    </xf>
    <xf numFmtId="0" fontId="4" fillId="34" borderId="22" xfId="53" applyFont="1" applyFill="1" applyBorder="1" applyAlignment="1">
      <alignment horizontal="right" vertical="center" wrapText="1"/>
      <protection/>
    </xf>
    <xf numFmtId="0" fontId="4" fillId="34" borderId="11" xfId="53" applyFont="1" applyFill="1" applyBorder="1" applyAlignment="1">
      <alignment horizontal="right" vertical="center" wrapText="1"/>
      <protection/>
    </xf>
    <xf numFmtId="0" fontId="4" fillId="34" borderId="13" xfId="53" applyFont="1" applyFill="1" applyBorder="1" applyAlignment="1">
      <alignment horizontal="left" vertical="center" wrapText="1"/>
      <protection/>
    </xf>
    <xf numFmtId="0" fontId="4" fillId="34" borderId="22" xfId="53" applyFont="1" applyFill="1" applyBorder="1" applyAlignment="1">
      <alignment horizontal="left" vertical="center" wrapText="1"/>
      <protection/>
    </xf>
    <xf numFmtId="0" fontId="4" fillId="34" borderId="11" xfId="53" applyFont="1" applyFill="1" applyBorder="1" applyAlignment="1">
      <alignment horizontal="left" vertical="center" wrapText="1"/>
      <protection/>
    </xf>
    <xf numFmtId="164" fontId="4" fillId="33" borderId="23" xfId="52" applyNumberFormat="1" applyFont="1" applyFill="1" applyBorder="1" applyAlignment="1">
      <alignment horizontal="center" vertical="center" wrapText="1"/>
      <protection/>
    </xf>
    <xf numFmtId="164" fontId="4" fillId="33" borderId="30" xfId="52" applyNumberFormat="1" applyFont="1" applyFill="1" applyBorder="1" applyAlignment="1">
      <alignment horizontal="center" vertical="center" wrapText="1"/>
      <protection/>
    </xf>
    <xf numFmtId="164" fontId="4" fillId="33" borderId="32" xfId="52" applyNumberFormat="1" applyFont="1" applyFill="1" applyBorder="1" applyAlignment="1">
      <alignment horizontal="center" vertical="center" wrapText="1"/>
      <protection/>
    </xf>
    <xf numFmtId="164" fontId="4" fillId="33" borderId="16" xfId="52" applyNumberFormat="1" applyFont="1" applyFill="1" applyBorder="1" applyAlignment="1">
      <alignment horizontal="center" vertical="center" wrapText="1"/>
      <protection/>
    </xf>
    <xf numFmtId="164" fontId="9" fillId="0" borderId="33" xfId="52" applyNumberFormat="1" applyFont="1" applyFill="1" applyBorder="1" applyAlignment="1">
      <alignment horizontal="center" vertical="center" wrapText="1"/>
      <protection/>
    </xf>
    <xf numFmtId="164" fontId="9" fillId="0" borderId="23" xfId="52" applyNumberFormat="1" applyFont="1" applyFill="1" applyBorder="1" applyAlignment="1">
      <alignment horizontal="center" vertical="center" wrapText="1"/>
      <protection/>
    </xf>
    <xf numFmtId="164" fontId="9" fillId="0" borderId="30" xfId="52" applyNumberFormat="1" applyFont="1" applyFill="1" applyBorder="1" applyAlignment="1">
      <alignment horizontal="center" vertical="center" wrapText="1"/>
      <protection/>
    </xf>
    <xf numFmtId="164" fontId="9" fillId="0" borderId="31" xfId="52" applyNumberFormat="1" applyFont="1" applyFill="1" applyBorder="1" applyAlignment="1">
      <alignment horizontal="center" vertical="center" wrapText="1"/>
      <protection/>
    </xf>
    <xf numFmtId="164" fontId="9" fillId="0" borderId="32" xfId="52" applyNumberFormat="1" applyFont="1" applyFill="1" applyBorder="1" applyAlignment="1">
      <alignment horizontal="center" vertical="center" wrapText="1"/>
      <protection/>
    </xf>
    <xf numFmtId="164" fontId="9" fillId="0" borderId="16" xfId="52" applyNumberFormat="1" applyFont="1" applyFill="1" applyBorder="1" applyAlignment="1">
      <alignment horizontal="center" vertical="center" wrapText="1"/>
      <protection/>
    </xf>
    <xf numFmtId="164" fontId="9" fillId="0" borderId="15" xfId="52" applyNumberFormat="1" applyFont="1" applyFill="1" applyBorder="1" applyAlignment="1">
      <alignment horizontal="center" vertical="center" wrapText="1"/>
      <protection/>
    </xf>
    <xf numFmtId="164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top" wrapText="1"/>
      <protection/>
    </xf>
    <xf numFmtId="0" fontId="4" fillId="34" borderId="22" xfId="53" applyFont="1" applyFill="1" applyBorder="1" applyAlignment="1">
      <alignment horizontal="center" vertical="top" wrapText="1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12" fillId="34" borderId="13" xfId="53" applyFont="1" applyFill="1" applyBorder="1" applyAlignment="1">
      <alignment horizontal="center" vertical="center" wrapText="1"/>
      <protection/>
    </xf>
    <xf numFmtId="0" fontId="12" fillId="34" borderId="22" xfId="53" applyFont="1" applyFill="1" applyBorder="1" applyAlignment="1">
      <alignment horizontal="center" vertical="center" wrapText="1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/>
      <protection/>
    </xf>
    <xf numFmtId="0" fontId="4" fillId="34" borderId="22" xfId="53" applyFont="1" applyFill="1" applyBorder="1" applyAlignment="1">
      <alignment horizontal="center"/>
      <protection/>
    </xf>
    <xf numFmtId="0" fontId="4" fillId="34" borderId="11" xfId="53" applyFont="1" applyFill="1" applyBorder="1" applyAlignment="1">
      <alignment horizontal="center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6" fillId="34" borderId="22" xfId="53" applyFont="1" applyFill="1" applyBorder="1" applyAlignment="1">
      <alignment vertical="center" wrapText="1"/>
      <protection/>
    </xf>
    <xf numFmtId="0" fontId="6" fillId="34" borderId="11" xfId="53" applyFont="1" applyFill="1" applyBorder="1" applyAlignment="1">
      <alignment vertical="center" wrapText="1"/>
      <protection/>
    </xf>
    <xf numFmtId="49" fontId="4" fillId="0" borderId="15" xfId="53" applyNumberFormat="1" applyFont="1" applyBorder="1" applyAlignment="1">
      <alignment horizontal="center"/>
      <protection/>
    </xf>
    <xf numFmtId="49" fontId="4" fillId="0" borderId="17" xfId="53" applyNumberFormat="1" applyFont="1" applyBorder="1" applyAlignment="1">
      <alignment horizontal="center"/>
      <protection/>
    </xf>
    <xf numFmtId="164" fontId="4" fillId="33" borderId="33" xfId="52" applyNumberFormat="1" applyFont="1" applyFill="1" applyBorder="1" applyAlignment="1">
      <alignment horizontal="center" wrapText="1"/>
      <protection/>
    </xf>
    <xf numFmtId="164" fontId="4" fillId="33" borderId="23" xfId="52" applyNumberFormat="1" applyFont="1" applyFill="1" applyBorder="1" applyAlignment="1">
      <alignment horizontal="center" wrapText="1"/>
      <protection/>
    </xf>
    <xf numFmtId="164" fontId="4" fillId="33" borderId="30" xfId="52" applyNumberFormat="1" applyFont="1" applyFill="1" applyBorder="1" applyAlignment="1">
      <alignment horizontal="center" wrapText="1"/>
      <protection/>
    </xf>
    <xf numFmtId="164" fontId="4" fillId="33" borderId="31" xfId="52" applyNumberFormat="1" applyFont="1" applyFill="1" applyBorder="1" applyAlignment="1">
      <alignment horizontal="center" wrapText="1"/>
      <protection/>
    </xf>
    <xf numFmtId="164" fontId="4" fillId="33" borderId="32" xfId="52" applyNumberFormat="1" applyFont="1" applyFill="1" applyBorder="1" applyAlignment="1">
      <alignment horizontal="center" wrapText="1"/>
      <protection/>
    </xf>
    <xf numFmtId="164" fontId="4" fillId="33" borderId="16" xfId="52" applyNumberFormat="1" applyFont="1" applyFill="1" applyBorder="1" applyAlignment="1">
      <alignment horizontal="center" wrapText="1"/>
      <protection/>
    </xf>
    <xf numFmtId="164" fontId="4" fillId="0" borderId="33" xfId="52" applyNumberFormat="1" applyFont="1" applyFill="1" applyBorder="1" applyAlignment="1">
      <alignment horizontal="center" vertical="center" wrapText="1"/>
      <protection/>
    </xf>
    <xf numFmtId="164" fontId="4" fillId="0" borderId="23" xfId="52" applyNumberFormat="1" applyFont="1" applyFill="1" applyBorder="1" applyAlignment="1">
      <alignment horizontal="center" vertical="center" wrapText="1"/>
      <protection/>
    </xf>
    <xf numFmtId="164" fontId="4" fillId="0" borderId="30" xfId="52" applyNumberFormat="1" applyFont="1" applyFill="1" applyBorder="1" applyAlignment="1">
      <alignment horizontal="center" vertical="center" wrapText="1"/>
      <protection/>
    </xf>
    <xf numFmtId="164" fontId="4" fillId="0" borderId="31" xfId="52" applyNumberFormat="1" applyFont="1" applyFill="1" applyBorder="1" applyAlignment="1">
      <alignment horizontal="center" vertical="center" wrapText="1"/>
      <protection/>
    </xf>
    <xf numFmtId="164" fontId="4" fillId="0" borderId="32" xfId="52" applyNumberFormat="1" applyFont="1" applyFill="1" applyBorder="1" applyAlignment="1">
      <alignment horizontal="center" vertical="center" wrapText="1"/>
      <protection/>
    </xf>
    <xf numFmtId="164" fontId="4" fillId="0" borderId="16" xfId="52" applyNumberFormat="1" applyFont="1" applyFill="1" applyBorder="1" applyAlignment="1">
      <alignment horizontal="center" vertical="center" wrapText="1"/>
      <protection/>
    </xf>
    <xf numFmtId="164" fontId="4" fillId="0" borderId="15" xfId="52" applyNumberFormat="1" applyFont="1" applyFill="1" applyBorder="1" applyAlignment="1">
      <alignment horizontal="center" vertical="center" wrapText="1"/>
      <protection/>
    </xf>
    <xf numFmtId="16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49" fontId="6" fillId="0" borderId="13" xfId="52" applyNumberFormat="1" applyFont="1" applyFill="1" applyBorder="1" applyAlignment="1">
      <alignment horizontal="left" vertical="center" wrapText="1"/>
      <protection/>
    </xf>
    <xf numFmtId="49" fontId="6" fillId="0" borderId="22" xfId="52" applyNumberFormat="1" applyFont="1" applyFill="1" applyBorder="1" applyAlignment="1">
      <alignment horizontal="left" vertical="center" wrapText="1"/>
      <protection/>
    </xf>
    <xf numFmtId="49" fontId="6" fillId="0" borderId="11" xfId="52" applyNumberFormat="1" applyFont="1" applyFill="1" applyBorder="1" applyAlignment="1">
      <alignment horizontal="left" vertical="center" wrapText="1"/>
      <protection/>
    </xf>
    <xf numFmtId="0" fontId="6" fillId="34" borderId="13" xfId="53" applyFont="1" applyFill="1" applyBorder="1" applyAlignment="1">
      <alignment horizontal="left" vertical="top" wrapText="1"/>
      <protection/>
    </xf>
    <xf numFmtId="0" fontId="6" fillId="34" borderId="22" xfId="53" applyFont="1" applyFill="1" applyBorder="1" applyAlignment="1">
      <alignment horizontal="left" vertical="top" wrapText="1"/>
      <protection/>
    </xf>
    <xf numFmtId="0" fontId="6" fillId="34" borderId="11" xfId="53" applyFont="1" applyFill="1" applyBorder="1" applyAlignment="1">
      <alignment horizontal="left" vertical="top" wrapText="1"/>
      <protection/>
    </xf>
    <xf numFmtId="0" fontId="11" fillId="34" borderId="13" xfId="53" applyFont="1" applyFill="1" applyBorder="1" applyAlignment="1">
      <alignment horizontal="center" vertical="center" wrapText="1"/>
      <protection/>
    </xf>
    <xf numFmtId="0" fontId="11" fillId="34" borderId="22" xfId="53" applyFont="1" applyFill="1" applyBorder="1" applyAlignment="1">
      <alignment horizontal="center" vertical="center" wrapText="1"/>
      <protection/>
    </xf>
    <xf numFmtId="0" fontId="11" fillId="34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 wrapText="1"/>
      <protection/>
    </xf>
    <xf numFmtId="0" fontId="4" fillId="34" borderId="22" xfId="53" applyFont="1" applyFill="1" applyBorder="1" applyAlignment="1">
      <alignment horizontal="left" wrapText="1"/>
      <protection/>
    </xf>
    <xf numFmtId="0" fontId="4" fillId="34" borderId="11" xfId="53" applyFont="1" applyFill="1" applyBorder="1" applyAlignment="1">
      <alignment horizontal="left" wrapText="1"/>
      <protection/>
    </xf>
    <xf numFmtId="0" fontId="4" fillId="34" borderId="13" xfId="53" applyFont="1" applyFill="1" applyBorder="1" applyAlignment="1">
      <alignment horizontal="left"/>
      <protection/>
    </xf>
    <xf numFmtId="0" fontId="4" fillId="34" borderId="22" xfId="53" applyFont="1" applyFill="1" applyBorder="1" applyAlignment="1">
      <alignment horizontal="left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164" fontId="4" fillId="33" borderId="22" xfId="53" applyNumberFormat="1" applyFont="1" applyFill="1" applyBorder="1" applyAlignment="1">
      <alignment vertical="center" wrapText="1"/>
      <protection/>
    </xf>
    <xf numFmtId="164" fontId="4" fillId="33" borderId="11" xfId="53" applyNumberFormat="1" applyFont="1" applyFill="1" applyBorder="1" applyAlignment="1">
      <alignment vertical="center" wrapText="1"/>
      <protection/>
    </xf>
    <xf numFmtId="0" fontId="8" fillId="34" borderId="13" xfId="53" applyFont="1" applyFill="1" applyBorder="1" applyAlignment="1">
      <alignment horizontal="left" vertical="center" wrapText="1"/>
      <protection/>
    </xf>
    <xf numFmtId="0" fontId="8" fillId="34" borderId="22" xfId="53" applyFont="1" applyFill="1" applyBorder="1" applyAlignment="1">
      <alignment horizontal="left" vertical="center" wrapText="1"/>
      <protection/>
    </xf>
    <xf numFmtId="0" fontId="8" fillId="34" borderId="11" xfId="53" applyFont="1" applyFill="1" applyBorder="1" applyAlignment="1">
      <alignment horizontal="left" vertical="center" wrapText="1"/>
      <protection/>
    </xf>
    <xf numFmtId="0" fontId="9" fillId="34" borderId="13" xfId="53" applyFont="1" applyFill="1" applyBorder="1" applyAlignment="1">
      <alignment horizontal="left" vertical="center"/>
      <protection/>
    </xf>
    <xf numFmtId="0" fontId="9" fillId="34" borderId="22" xfId="53" applyFont="1" applyFill="1" applyBorder="1" applyAlignment="1">
      <alignment horizontal="left" vertical="center"/>
      <protection/>
    </xf>
    <xf numFmtId="0" fontId="9" fillId="34" borderId="11" xfId="53" applyFont="1" applyFill="1" applyBorder="1" applyAlignment="1">
      <alignment horizontal="left" vertical="center"/>
      <protection/>
    </xf>
    <xf numFmtId="0" fontId="6" fillId="34" borderId="13" xfId="53" applyFont="1" applyFill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164" fontId="4" fillId="33" borderId="13" xfId="52" applyNumberFormat="1" applyFont="1" applyFill="1" applyBorder="1" applyAlignment="1">
      <alignment vertical="center" wrapText="1"/>
      <protection/>
    </xf>
    <xf numFmtId="164" fontId="4" fillId="33" borderId="22" xfId="52" applyNumberFormat="1" applyFont="1" applyFill="1" applyBorder="1" applyAlignment="1">
      <alignment vertical="center" wrapText="1"/>
      <protection/>
    </xf>
    <xf numFmtId="164" fontId="4" fillId="33" borderId="11" xfId="52" applyNumberFormat="1" applyFont="1" applyFill="1" applyBorder="1" applyAlignment="1">
      <alignment vertical="center" wrapText="1"/>
      <protection/>
    </xf>
    <xf numFmtId="4" fontId="4" fillId="33" borderId="13" xfId="52" applyNumberFormat="1" applyFont="1" applyFill="1" applyBorder="1" applyAlignment="1">
      <alignment vertical="center" wrapText="1"/>
      <protection/>
    </xf>
    <xf numFmtId="4" fontId="4" fillId="33" borderId="22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164" fontId="4" fillId="33" borderId="33" xfId="52" applyNumberFormat="1" applyFont="1" applyFill="1" applyBorder="1" applyAlignment="1">
      <alignment horizontal="center" vertical="center" wrapText="1"/>
      <protection/>
    </xf>
    <xf numFmtId="164" fontId="4" fillId="33" borderId="31" xfId="52" applyNumberFormat="1" applyFont="1" applyFill="1" applyBorder="1" applyAlignment="1">
      <alignment horizontal="center" vertical="center" wrapText="1"/>
      <protection/>
    </xf>
    <xf numFmtId="164" fontId="4" fillId="0" borderId="34" xfId="53" applyNumberFormat="1" applyFont="1" applyFill="1" applyBorder="1" applyAlignment="1">
      <alignment horizontal="left" vertical="center" wrapText="1"/>
      <protection/>
    </xf>
    <xf numFmtId="164" fontId="4" fillId="0" borderId="35" xfId="53" applyNumberFormat="1" applyFont="1" applyFill="1" applyBorder="1" applyAlignment="1">
      <alignment horizontal="left" vertical="center" wrapText="1"/>
      <protection/>
    </xf>
    <xf numFmtId="164" fontId="4" fillId="0" borderId="36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164" fontId="4" fillId="0" borderId="22" xfId="53" applyNumberFormat="1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33" borderId="33" xfId="53" applyNumberFormat="1" applyFont="1" applyFill="1" applyBorder="1" applyAlignment="1">
      <alignment vertical="center" wrapText="1"/>
      <protection/>
    </xf>
    <xf numFmtId="164" fontId="4" fillId="33" borderId="23" xfId="53" applyNumberFormat="1" applyFont="1" applyFill="1" applyBorder="1" applyAlignment="1">
      <alignment vertical="center" wrapText="1"/>
      <protection/>
    </xf>
    <xf numFmtId="164" fontId="4" fillId="33" borderId="30" xfId="53" applyNumberFormat="1" applyFont="1" applyFill="1" applyBorder="1" applyAlignment="1">
      <alignment vertical="center" wrapText="1"/>
      <protection/>
    </xf>
    <xf numFmtId="164" fontId="4" fillId="0" borderId="37" xfId="53" applyNumberFormat="1" applyFont="1" applyFill="1" applyBorder="1" applyAlignment="1">
      <alignment horizontal="left" vertical="center" wrapText="1"/>
      <protection/>
    </xf>
    <xf numFmtId="164" fontId="4" fillId="0" borderId="38" xfId="53" applyNumberFormat="1" applyFont="1" applyFill="1" applyBorder="1" applyAlignment="1">
      <alignment horizontal="left" vertical="center" wrapText="1"/>
      <protection/>
    </xf>
    <xf numFmtId="164" fontId="4" fillId="0" borderId="39" xfId="53" applyNumberFormat="1" applyFont="1" applyFill="1" applyBorder="1" applyAlignment="1">
      <alignment horizontal="left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30" xfId="52" applyFont="1" applyFill="1" applyBorder="1" applyAlignment="1">
      <alignment horizontal="center" vertical="center" wrapText="1"/>
      <protection/>
    </xf>
    <xf numFmtId="0" fontId="4" fillId="33" borderId="31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4" fontId="6" fillId="33" borderId="13" xfId="52" applyNumberFormat="1" applyFont="1" applyFill="1" applyBorder="1" applyAlignment="1">
      <alignment vertical="center" wrapText="1"/>
      <protection/>
    </xf>
    <xf numFmtId="4" fontId="6" fillId="33" borderId="22" xfId="52" applyNumberFormat="1" applyFont="1" applyFill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33" xfId="55" applyFont="1" applyBorder="1" applyAlignment="1">
      <alignment vertical="center" wrapText="1"/>
      <protection/>
    </xf>
    <xf numFmtId="0" fontId="4" fillId="0" borderId="23" xfId="55" applyFont="1" applyBorder="1" applyAlignment="1">
      <alignment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right" vertical="center" wrapText="1"/>
      <protection/>
    </xf>
    <xf numFmtId="0" fontId="4" fillId="0" borderId="22" xfId="55" applyFont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right"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164" fontId="4" fillId="0" borderId="13" xfId="52" applyNumberFormat="1" applyFont="1" applyFill="1" applyBorder="1" applyAlignment="1">
      <alignment vertical="center" wrapText="1"/>
      <protection/>
    </xf>
    <xf numFmtId="164" fontId="4" fillId="0" borderId="22" xfId="52" applyNumberFormat="1" applyFont="1" applyFill="1" applyBorder="1" applyAlignment="1">
      <alignment vertical="center" wrapText="1"/>
      <protection/>
    </xf>
    <xf numFmtId="164" fontId="4" fillId="0" borderId="11" xfId="52" applyNumberFormat="1" applyFont="1" applyFill="1" applyBorder="1" applyAlignment="1">
      <alignment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7" borderId="0" xfId="55" applyFont="1" applyFill="1" applyAlignment="1">
      <alignment horizontal="center" vertical="center" wrapText="1"/>
      <protection/>
    </xf>
    <xf numFmtId="0" fontId="4" fillId="13" borderId="35" xfId="55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vertical="center" wrapText="1"/>
      <protection/>
    </xf>
    <xf numFmtId="0" fontId="4" fillId="34" borderId="22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horizontal="left"/>
      <protection/>
    </xf>
    <xf numFmtId="0" fontId="4" fillId="34" borderId="13" xfId="53" applyFont="1" applyFill="1" applyBorder="1" applyAlignment="1">
      <alignment horizontal="left" vertical="top" wrapText="1"/>
      <protection/>
    </xf>
    <xf numFmtId="0" fontId="4" fillId="34" borderId="22" xfId="53" applyFont="1" applyFill="1" applyBorder="1" applyAlignment="1">
      <alignment horizontal="left" vertical="top" wrapText="1"/>
      <protection/>
    </xf>
    <xf numFmtId="0" fontId="4" fillId="34" borderId="11" xfId="53" applyFont="1" applyFill="1" applyBorder="1" applyAlignment="1">
      <alignment horizontal="left" vertical="top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vertical="center" wrapText="1"/>
      <protection/>
    </xf>
    <xf numFmtId="0" fontId="4" fillId="7" borderId="40" xfId="55" applyFont="1" applyFill="1" applyBorder="1" applyAlignment="1">
      <alignment horizontal="center" vertical="center" wrapText="1"/>
      <protection/>
    </xf>
    <xf numFmtId="164" fontId="4" fillId="33" borderId="41" xfId="53" applyNumberFormat="1" applyFont="1" applyFill="1" applyBorder="1" applyAlignment="1">
      <alignment vertical="center" wrapText="1"/>
      <protection/>
    </xf>
    <xf numFmtId="164" fontId="4" fillId="33" borderId="42" xfId="53" applyNumberFormat="1" applyFont="1" applyFill="1" applyBorder="1" applyAlignment="1">
      <alignment vertical="center" wrapText="1"/>
      <protection/>
    </xf>
    <xf numFmtId="164" fontId="4" fillId="33" borderId="43" xfId="53" applyNumberFormat="1" applyFont="1" applyFill="1" applyBorder="1" applyAlignment="1">
      <alignment vertical="center" wrapText="1"/>
      <protection/>
    </xf>
    <xf numFmtId="0" fontId="9" fillId="34" borderId="13" xfId="53" applyFont="1" applyFill="1" applyBorder="1" applyAlignment="1">
      <alignment horizontal="center" wrapText="1"/>
      <protection/>
    </xf>
    <xf numFmtId="0" fontId="9" fillId="34" borderId="22" xfId="53" applyFont="1" applyFill="1" applyBorder="1" applyAlignment="1">
      <alignment horizontal="center" wrapText="1"/>
      <protection/>
    </xf>
    <xf numFmtId="0" fontId="9" fillId="34" borderId="11" xfId="53" applyFont="1" applyFill="1" applyBorder="1" applyAlignment="1">
      <alignment horizont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164" fontId="4" fillId="33" borderId="44" xfId="52" applyNumberFormat="1" applyFont="1" applyFill="1" applyBorder="1" applyAlignment="1">
      <alignment horizontal="center" vertical="center" wrapText="1"/>
      <protection/>
    </xf>
    <xf numFmtId="164" fontId="4" fillId="33" borderId="45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25">
      <selection activeCell="E32" sqref="E32"/>
    </sheetView>
  </sheetViews>
  <sheetFormatPr defaultColWidth="9.140625" defaultRowHeight="15"/>
  <cols>
    <col min="1" max="1" width="4.140625" style="2" customWidth="1"/>
    <col min="2" max="3" width="9.140625" style="2" customWidth="1"/>
    <col min="4" max="4" width="5.421875" style="2" customWidth="1"/>
    <col min="5" max="5" width="13.57421875" style="2" customWidth="1"/>
    <col min="6" max="6" width="12.7109375" style="2" customWidth="1"/>
    <col min="7" max="7" width="13.28125" style="2" customWidth="1"/>
    <col min="8" max="8" width="9.7109375" style="2" customWidth="1"/>
    <col min="9" max="10" width="9.28125" style="2" customWidth="1"/>
    <col min="11" max="11" width="12.28125" style="2" customWidth="1"/>
    <col min="12" max="12" width="14.00390625" style="2" customWidth="1"/>
    <col min="13" max="13" width="12.7109375" style="2" customWidth="1"/>
    <col min="14" max="14" width="14.8515625" style="2" customWidth="1"/>
    <col min="15" max="15" width="8.140625" style="2" customWidth="1"/>
    <col min="16" max="16" width="9.42187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>
      <c r="A2" s="1"/>
      <c r="B2" s="458" t="s">
        <v>212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4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0.25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0.25" customHeight="1" thickBot="1">
      <c r="A6" s="3"/>
      <c r="B6" s="451" t="s">
        <v>211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5">
        <f>P10</f>
        <v>246424.41999999998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thickBot="1">
      <c r="A8" s="6"/>
      <c r="B8" s="451" t="s">
        <v>3</v>
      </c>
      <c r="C8" s="288"/>
      <c r="D8" s="288"/>
      <c r="E8" s="289"/>
      <c r="F8" s="296" t="s">
        <v>4</v>
      </c>
      <c r="G8" s="297"/>
      <c r="H8" s="7" t="s">
        <v>5</v>
      </c>
      <c r="I8" s="296" t="s">
        <v>6</v>
      </c>
      <c r="J8" s="297"/>
      <c r="K8" s="8" t="s">
        <v>7</v>
      </c>
      <c r="L8" s="7" t="s">
        <v>8</v>
      </c>
      <c r="M8" s="9" t="s">
        <v>9</v>
      </c>
      <c r="N8" s="10" t="s">
        <v>10</v>
      </c>
      <c r="O8" s="11" t="s">
        <v>11</v>
      </c>
      <c r="P8" s="12"/>
    </row>
    <row r="9" spans="1:16" ht="23.25" customHeight="1" thickBot="1">
      <c r="A9" s="3"/>
      <c r="B9" s="448" t="s">
        <v>12</v>
      </c>
      <c r="C9" s="449"/>
      <c r="D9" s="449"/>
      <c r="E9" s="450"/>
      <c r="F9" s="299">
        <v>0</v>
      </c>
      <c r="G9" s="300"/>
      <c r="H9" s="4">
        <v>0</v>
      </c>
      <c r="I9" s="299">
        <v>0</v>
      </c>
      <c r="J9" s="300"/>
      <c r="K9" s="13">
        <v>0</v>
      </c>
      <c r="L9" s="4">
        <v>0</v>
      </c>
      <c r="M9" s="14">
        <v>0</v>
      </c>
      <c r="N9" s="4">
        <v>0</v>
      </c>
      <c r="O9" s="15">
        <v>0</v>
      </c>
      <c r="P9" s="5">
        <v>0</v>
      </c>
    </row>
    <row r="10" spans="1:16" ht="24.75" customHeight="1" thickBot="1">
      <c r="A10" s="3"/>
      <c r="B10" s="448" t="s">
        <v>13</v>
      </c>
      <c r="C10" s="449"/>
      <c r="D10" s="449"/>
      <c r="E10" s="450"/>
      <c r="F10" s="299">
        <v>42710.19</v>
      </c>
      <c r="G10" s="300"/>
      <c r="H10" s="4">
        <v>0</v>
      </c>
      <c r="I10" s="299">
        <v>3000</v>
      </c>
      <c r="J10" s="300"/>
      <c r="K10" s="13">
        <v>0</v>
      </c>
      <c r="L10" s="4">
        <v>195398.15</v>
      </c>
      <c r="M10" s="14">
        <v>0</v>
      </c>
      <c r="N10" s="4">
        <v>53.24</v>
      </c>
      <c r="O10" s="4">
        <v>5262.84</v>
      </c>
      <c r="P10" s="5">
        <f>SUM(F10:O10)</f>
        <v>246424.41999999998</v>
      </c>
    </row>
    <row r="11" spans="1:16" ht="18.75" customHeight="1" thickBot="1">
      <c r="A11" s="16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15.75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8" customHeight="1" thickBot="1">
      <c r="A14" s="3"/>
      <c r="B14" s="316" t="s">
        <v>21</v>
      </c>
      <c r="C14" s="317"/>
      <c r="D14" s="318"/>
      <c r="E14" s="17" t="s">
        <v>22</v>
      </c>
      <c r="F14" s="18">
        <v>3</v>
      </c>
      <c r="G14" s="403">
        <v>4</v>
      </c>
      <c r="H14" s="404"/>
      <c r="I14" s="404"/>
      <c r="J14" s="405"/>
      <c r="K14" s="19">
        <v>5</v>
      </c>
      <c r="L14" s="20">
        <v>6</v>
      </c>
      <c r="M14" s="7">
        <v>7</v>
      </c>
      <c r="N14" s="20">
        <v>8</v>
      </c>
      <c r="O14" s="20">
        <v>9</v>
      </c>
      <c r="P14" s="7">
        <v>10</v>
      </c>
    </row>
    <row r="15" spans="1:16" ht="29.25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9.25" customHeight="1" thickBot="1">
      <c r="A16" s="413"/>
      <c r="B16" s="431"/>
      <c r="C16" s="432"/>
      <c r="D16" s="433"/>
      <c r="E16" s="26">
        <f>SUM(E17:E23)</f>
        <v>1828597</v>
      </c>
      <c r="F16" s="27">
        <f>SUM(F17:F23)</f>
        <v>1828597</v>
      </c>
      <c r="G16" s="437">
        <f>G17+G18+G19+G20+G21+G22+G23</f>
        <v>618395.74</v>
      </c>
      <c r="H16" s="438"/>
      <c r="I16" s="438"/>
      <c r="J16" s="439"/>
      <c r="K16" s="28">
        <f>SUM(K17:K23)</f>
        <v>618395.74</v>
      </c>
      <c r="L16" s="28">
        <f>SUM(L17:L23)</f>
        <v>618395.74</v>
      </c>
      <c r="M16" s="28">
        <f>SUM(M17:M23)</f>
        <v>1210201.26</v>
      </c>
      <c r="N16" s="28">
        <f>SUM(N17:N23)</f>
        <v>1210201.26</v>
      </c>
      <c r="O16" s="29">
        <v>0</v>
      </c>
      <c r="P16" s="29">
        <v>0</v>
      </c>
    </row>
    <row r="17" spans="1:18" ht="57.75" customHeight="1" thickBot="1">
      <c r="A17" s="30" t="s">
        <v>29</v>
      </c>
      <c r="B17" s="393" t="s">
        <v>30</v>
      </c>
      <c r="C17" s="394"/>
      <c r="D17" s="395"/>
      <c r="E17" s="154">
        <v>1057014</v>
      </c>
      <c r="F17" s="31">
        <f>0+E17</f>
        <v>1057014</v>
      </c>
      <c r="G17" s="409">
        <v>505807.73</v>
      </c>
      <c r="H17" s="410"/>
      <c r="I17" s="410"/>
      <c r="J17" s="411"/>
      <c r="K17" s="32">
        <f>G17</f>
        <v>505807.73</v>
      </c>
      <c r="L17" s="33">
        <f>0+K17</f>
        <v>505807.73</v>
      </c>
      <c r="M17" s="34">
        <f>E17-K17</f>
        <v>551206.27</v>
      </c>
      <c r="N17" s="35">
        <f>F17-L17</f>
        <v>551206.27</v>
      </c>
      <c r="O17" s="36">
        <v>0</v>
      </c>
      <c r="P17" s="36">
        <v>0</v>
      </c>
      <c r="Q17" s="1"/>
      <c r="R17" s="37">
        <v>365352.1499999948</v>
      </c>
    </row>
    <row r="18" spans="1:18" ht="42.75" customHeight="1" thickBot="1">
      <c r="A18" s="38" t="s">
        <v>31</v>
      </c>
      <c r="B18" s="422" t="s">
        <v>32</v>
      </c>
      <c r="C18" s="423"/>
      <c r="D18" s="424"/>
      <c r="E18" s="148">
        <v>430483</v>
      </c>
      <c r="F18" s="31">
        <f>0+E18</f>
        <v>430483</v>
      </c>
      <c r="G18" s="409"/>
      <c r="H18" s="410"/>
      <c r="I18" s="410"/>
      <c r="J18" s="411"/>
      <c r="K18" s="32">
        <f>G18</f>
        <v>0</v>
      </c>
      <c r="L18" s="33">
        <f>0+K18</f>
        <v>0</v>
      </c>
      <c r="M18" s="34">
        <f>E18-K18</f>
        <v>430483</v>
      </c>
      <c r="N18" s="35">
        <f>F18-L18</f>
        <v>430483</v>
      </c>
      <c r="O18" s="36">
        <v>0</v>
      </c>
      <c r="P18" s="36">
        <v>0</v>
      </c>
      <c r="Q18" s="1"/>
      <c r="R18" s="1"/>
    </row>
    <row r="19" spans="1:18" ht="36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32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416" t="s">
        <v>36</v>
      </c>
      <c r="C20" s="417"/>
      <c r="D20" s="418"/>
      <c r="E20" s="42">
        <v>341100</v>
      </c>
      <c r="F20" s="31">
        <f>0+E20</f>
        <v>341100</v>
      </c>
      <c r="G20" s="409"/>
      <c r="H20" s="410"/>
      <c r="I20" s="410"/>
      <c r="J20" s="411"/>
      <c r="K20" s="32">
        <f>G20</f>
        <v>0</v>
      </c>
      <c r="L20" s="33">
        <f>0+K20</f>
        <v>0</v>
      </c>
      <c r="M20" s="34">
        <f t="shared" si="0"/>
        <v>341100</v>
      </c>
      <c r="N20" s="35">
        <f t="shared" si="0"/>
        <v>341100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32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40.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>
        <v>810</v>
      </c>
      <c r="H22" s="410"/>
      <c r="I22" s="410"/>
      <c r="J22" s="411"/>
      <c r="K22" s="32">
        <f>G22</f>
        <v>810</v>
      </c>
      <c r="L22" s="33">
        <f>0+K22</f>
        <v>810</v>
      </c>
      <c r="M22" s="34">
        <f>E22-K22</f>
        <v>-810</v>
      </c>
      <c r="N22" s="35">
        <f t="shared" si="0"/>
        <v>-810</v>
      </c>
      <c r="O22" s="36">
        <v>0</v>
      </c>
      <c r="P22" s="36">
        <v>0</v>
      </c>
      <c r="Q22" s="1"/>
      <c r="R22" s="1"/>
    </row>
    <row r="23" spans="1:18" ht="39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111778.01</v>
      </c>
      <c r="H23" s="410"/>
      <c r="I23" s="410"/>
      <c r="J23" s="411"/>
      <c r="K23" s="32">
        <f>G23</f>
        <v>111778.01</v>
      </c>
      <c r="L23" s="33">
        <f>0+K23</f>
        <v>111778.01</v>
      </c>
      <c r="M23" s="34">
        <f t="shared" si="0"/>
        <v>-111778.01</v>
      </c>
      <c r="N23" s="35">
        <f t="shared" si="0"/>
        <v>-111778.01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4.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75" customHeight="1" thickBot="1">
      <c r="A27" s="413"/>
      <c r="B27" s="371"/>
      <c r="C27" s="372"/>
      <c r="D27" s="373"/>
      <c r="E27" s="375"/>
      <c r="F27" s="377"/>
      <c r="G27" s="47" t="s">
        <v>45</v>
      </c>
      <c r="H27" s="47" t="s">
        <v>46</v>
      </c>
      <c r="I27" s="47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47">
        <v>3</v>
      </c>
      <c r="G28" s="47">
        <v>4</v>
      </c>
      <c r="H28" s="47">
        <v>5</v>
      </c>
      <c r="I28" s="7">
        <v>6</v>
      </c>
      <c r="J28" s="7">
        <v>7</v>
      </c>
      <c r="K28" s="48">
        <v>8</v>
      </c>
      <c r="L28" s="20">
        <v>9</v>
      </c>
      <c r="M28" s="7">
        <v>10</v>
      </c>
      <c r="N28" s="20">
        <v>11</v>
      </c>
      <c r="O28" s="7">
        <v>12</v>
      </c>
      <c r="P28" s="20">
        <v>13</v>
      </c>
      <c r="Q28" s="1"/>
      <c r="R28" s="1"/>
    </row>
    <row r="29" spans="1:18" ht="15.75" thickBot="1">
      <c r="A29" s="3"/>
      <c r="B29" s="403" t="s">
        <v>23</v>
      </c>
      <c r="C29" s="404"/>
      <c r="D29" s="405"/>
      <c r="E29" s="49">
        <f aca="true" t="shared" si="1" ref="E29:N29">E30+E34+E38+E44+E51+E54+E64+E67+E71+E74+E78+E80+E88+E101+E133+E136+E139+E142</f>
        <v>1828597</v>
      </c>
      <c r="F29" s="49">
        <f t="shared" si="1"/>
        <v>1828597</v>
      </c>
      <c r="G29" s="49">
        <f t="shared" si="1"/>
        <v>499511.99</v>
      </c>
      <c r="H29" s="49">
        <f t="shared" si="1"/>
        <v>0</v>
      </c>
      <c r="I29" s="49">
        <f t="shared" si="1"/>
        <v>3000</v>
      </c>
      <c r="J29" s="49">
        <f t="shared" si="1"/>
        <v>0</v>
      </c>
      <c r="K29" s="49">
        <f t="shared" si="1"/>
        <v>502511.99</v>
      </c>
      <c r="L29" s="49">
        <f t="shared" si="1"/>
        <v>502511.99</v>
      </c>
      <c r="M29" s="49">
        <f t="shared" si="1"/>
        <v>1326085.01</v>
      </c>
      <c r="N29" s="49">
        <f t="shared" si="1"/>
        <v>1326085.01</v>
      </c>
      <c r="O29" s="50">
        <v>0</v>
      </c>
      <c r="P29" s="50">
        <v>0</v>
      </c>
      <c r="Q29" s="1"/>
      <c r="R29" s="37"/>
    </row>
    <row r="30" spans="1:18" ht="18.75" customHeight="1" thickBot="1">
      <c r="A30" s="51" t="s">
        <v>21</v>
      </c>
      <c r="B30" s="402" t="s">
        <v>49</v>
      </c>
      <c r="C30" s="304"/>
      <c r="D30" s="305"/>
      <c r="E30" s="52">
        <f>SUM(E31:E32)</f>
        <v>694801</v>
      </c>
      <c r="F30" s="53">
        <f>F31+F32+F33</f>
        <v>694801</v>
      </c>
      <c r="G30" s="54">
        <f>G31+G32+G33</f>
        <v>178800</v>
      </c>
      <c r="H30" s="54">
        <f>H31</f>
        <v>0</v>
      </c>
      <c r="I30" s="54"/>
      <c r="J30" s="54"/>
      <c r="K30" s="53">
        <f>G30+H30</f>
        <v>178800</v>
      </c>
      <c r="L30" s="55">
        <f>L31+L32</f>
        <v>178800</v>
      </c>
      <c r="M30" s="56">
        <f>E30-K30</f>
        <v>516001</v>
      </c>
      <c r="N30" s="57">
        <f>F30-L30</f>
        <v>516001</v>
      </c>
      <c r="O30" s="58">
        <v>0</v>
      </c>
      <c r="P30" s="59">
        <v>0</v>
      </c>
      <c r="Q30" s="37"/>
      <c r="R30" s="37"/>
    </row>
    <row r="31" spans="1:18" ht="21.75" customHeight="1" thickBot="1">
      <c r="A31" s="60" t="s">
        <v>50</v>
      </c>
      <c r="B31" s="388" t="s">
        <v>51</v>
      </c>
      <c r="C31" s="389"/>
      <c r="D31" s="390"/>
      <c r="E31" s="150">
        <v>358139</v>
      </c>
      <c r="F31" s="31">
        <f>0+E31</f>
        <v>358139</v>
      </c>
      <c r="G31" s="62"/>
      <c r="H31" s="62"/>
      <c r="I31" s="62"/>
      <c r="J31" s="62"/>
      <c r="K31" s="45">
        <f>H31</f>
        <v>0</v>
      </c>
      <c r="L31" s="33">
        <f>0+K31</f>
        <v>0</v>
      </c>
      <c r="M31" s="34">
        <f>E31-K31</f>
        <v>358139</v>
      </c>
      <c r="N31" s="63">
        <f>F31-L31</f>
        <v>358139</v>
      </c>
      <c r="O31" s="64">
        <v>0</v>
      </c>
      <c r="P31" s="65">
        <v>0</v>
      </c>
      <c r="Q31" s="37"/>
      <c r="R31" s="37"/>
    </row>
    <row r="32" spans="1:18" ht="28.5" customHeight="1" thickBot="1">
      <c r="A32" s="60" t="s">
        <v>52</v>
      </c>
      <c r="B32" s="301" t="s">
        <v>53</v>
      </c>
      <c r="C32" s="302"/>
      <c r="D32" s="303"/>
      <c r="E32" s="172">
        <v>336662</v>
      </c>
      <c r="F32" s="31">
        <f>0+E32</f>
        <v>336662</v>
      </c>
      <c r="G32" s="62">
        <v>178800</v>
      </c>
      <c r="H32" s="62"/>
      <c r="I32" s="62"/>
      <c r="J32" s="62"/>
      <c r="K32" s="33">
        <f>0+G32</f>
        <v>178800</v>
      </c>
      <c r="L32" s="33">
        <f>0+K32</f>
        <v>178800</v>
      </c>
      <c r="M32" s="34">
        <f>E32-K32</f>
        <v>157862</v>
      </c>
      <c r="N32" s="63">
        <f>F32-L32</f>
        <v>157862</v>
      </c>
      <c r="O32" s="64">
        <v>0</v>
      </c>
      <c r="P32" s="65">
        <v>0</v>
      </c>
      <c r="Q32" s="37"/>
      <c r="R32" s="37"/>
    </row>
    <row r="33" spans="1:18" ht="30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2.25" customHeight="1" thickBot="1">
      <c r="A34" s="69" t="s">
        <v>22</v>
      </c>
      <c r="B34" s="357" t="s">
        <v>56</v>
      </c>
      <c r="C34" s="358"/>
      <c r="D34" s="359"/>
      <c r="E34" s="53">
        <f>SUM(E35:E37)</f>
        <v>140350</v>
      </c>
      <c r="F34" s="53">
        <f>F35+F36+F37</f>
        <v>140350</v>
      </c>
      <c r="G34" s="54">
        <f>G35+G36+G37</f>
        <v>0</v>
      </c>
      <c r="H34" s="54">
        <f>H35</f>
        <v>0</v>
      </c>
      <c r="I34" s="54"/>
      <c r="J34" s="54"/>
      <c r="K34" s="53">
        <f>G34+H34</f>
        <v>0</v>
      </c>
      <c r="L34" s="55">
        <f>L35+L36</f>
        <v>0</v>
      </c>
      <c r="M34" s="56">
        <f aca="true" t="shared" si="2" ref="M34:N36">E34-K34</f>
        <v>140350</v>
      </c>
      <c r="N34" s="70">
        <f t="shared" si="2"/>
        <v>140350</v>
      </c>
      <c r="O34" s="58">
        <v>0</v>
      </c>
      <c r="P34" s="59">
        <v>0</v>
      </c>
      <c r="Q34" s="1"/>
      <c r="R34" s="1"/>
    </row>
    <row r="35" spans="1:18" ht="21" customHeight="1" thickBot="1">
      <c r="A35" s="60" t="s">
        <v>57</v>
      </c>
      <c r="B35" s="388" t="s">
        <v>51</v>
      </c>
      <c r="C35" s="389"/>
      <c r="D35" s="390"/>
      <c r="E35" s="151">
        <v>72344</v>
      </c>
      <c r="F35" s="31">
        <f>0+E35</f>
        <v>72344</v>
      </c>
      <c r="G35" s="62"/>
      <c r="H35" s="62"/>
      <c r="I35" s="62"/>
      <c r="J35" s="62"/>
      <c r="K35" s="45">
        <f>H35</f>
        <v>0</v>
      </c>
      <c r="L35" s="33">
        <f>0+K35</f>
        <v>0</v>
      </c>
      <c r="M35" s="34">
        <f t="shared" si="2"/>
        <v>72344</v>
      </c>
      <c r="N35" s="63">
        <f t="shared" si="2"/>
        <v>72344</v>
      </c>
      <c r="O35" s="64">
        <v>0</v>
      </c>
      <c r="P35" s="65">
        <v>0</v>
      </c>
      <c r="Q35" s="1"/>
      <c r="R35" s="71">
        <f>10506304-F29</f>
        <v>8677707</v>
      </c>
    </row>
    <row r="36" spans="1:18" ht="30" customHeight="1" thickBot="1">
      <c r="A36" s="60" t="s">
        <v>58</v>
      </c>
      <c r="B36" s="301" t="s">
        <v>53</v>
      </c>
      <c r="C36" s="302"/>
      <c r="D36" s="303"/>
      <c r="E36" s="151">
        <v>68006</v>
      </c>
      <c r="F36" s="193">
        <f>0+E36</f>
        <v>68006</v>
      </c>
      <c r="G36" s="62"/>
      <c r="H36" s="62"/>
      <c r="I36" s="62"/>
      <c r="J36" s="62"/>
      <c r="K36" s="45">
        <f>G36</f>
        <v>0</v>
      </c>
      <c r="L36" s="33">
        <f>0+K36</f>
        <v>0</v>
      </c>
      <c r="M36" s="34">
        <f>E36-K36</f>
        <v>68006</v>
      </c>
      <c r="N36" s="63">
        <f t="shared" si="2"/>
        <v>68006</v>
      </c>
      <c r="O36" s="64">
        <v>0</v>
      </c>
      <c r="P36" s="65">
        <v>0</v>
      </c>
      <c r="Q36" s="1"/>
      <c r="R36" s="1"/>
    </row>
    <row r="37" spans="1:18" ht="29.2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9.25" customHeight="1" thickBot="1">
      <c r="A38" s="51" t="s">
        <v>60</v>
      </c>
      <c r="B38" s="357" t="s">
        <v>61</v>
      </c>
      <c r="C38" s="358"/>
      <c r="D38" s="359"/>
      <c r="E38" s="53">
        <f>SUM(E41:E43)</f>
        <v>27846</v>
      </c>
      <c r="F38" s="73">
        <f>F41+F42+F43</f>
        <v>27846</v>
      </c>
      <c r="G38" s="54">
        <f>G40</f>
        <v>7007.67</v>
      </c>
      <c r="H38" s="54"/>
      <c r="I38" s="54"/>
      <c r="J38" s="54"/>
      <c r="K38" s="55">
        <f>K39+K40</f>
        <v>7007.67</v>
      </c>
      <c r="L38" s="55">
        <f>L40+L39</f>
        <v>7007.67</v>
      </c>
      <c r="M38" s="56">
        <f>E38-K38</f>
        <v>20838.33</v>
      </c>
      <c r="N38" s="57">
        <f>F38-L38</f>
        <v>20838.33</v>
      </c>
      <c r="O38" s="58">
        <v>0</v>
      </c>
      <c r="P38" s="59">
        <v>0</v>
      </c>
      <c r="Q38" s="1"/>
      <c r="R38" s="1"/>
    </row>
    <row r="39" spans="1:18" ht="22.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27" customHeight="1" thickBot="1">
      <c r="A40" s="60" t="s">
        <v>63</v>
      </c>
      <c r="B40" s="301" t="s">
        <v>53</v>
      </c>
      <c r="C40" s="302"/>
      <c r="D40" s="303"/>
      <c r="E40" s="45">
        <f>E41+E42+E43</f>
        <v>27846</v>
      </c>
      <c r="F40" s="31">
        <f aca="true" t="shared" si="3" ref="F40:F45">0+E40</f>
        <v>27846</v>
      </c>
      <c r="G40" s="62">
        <f>G41+G42+G43</f>
        <v>7007.67</v>
      </c>
      <c r="H40" s="62"/>
      <c r="I40" s="62"/>
      <c r="J40" s="62"/>
      <c r="K40" s="33">
        <f>0+G40</f>
        <v>7007.67</v>
      </c>
      <c r="L40" s="33">
        <f>L41+L42+L43</f>
        <v>7007.67</v>
      </c>
      <c r="M40" s="34">
        <f aca="true" t="shared" si="4" ref="M40:N55">E40-K40</f>
        <v>20838.33</v>
      </c>
      <c r="N40" s="63">
        <f t="shared" si="4"/>
        <v>20838.33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 t="shared" si="3"/>
        <v>2846</v>
      </c>
      <c r="G41" s="62">
        <v>2675.67</v>
      </c>
      <c r="H41" s="62"/>
      <c r="I41" s="62"/>
      <c r="J41" s="62"/>
      <c r="K41" s="33">
        <f>0+G41</f>
        <v>2675.67</v>
      </c>
      <c r="L41" s="33">
        <f>0+K41</f>
        <v>2675.67</v>
      </c>
      <c r="M41" s="34">
        <f t="shared" si="4"/>
        <v>170.32999999999993</v>
      </c>
      <c r="N41" s="63">
        <f t="shared" si="4"/>
        <v>170.32999999999993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22000</v>
      </c>
      <c r="F42" s="31">
        <f t="shared" si="3"/>
        <v>22000</v>
      </c>
      <c r="G42" s="62">
        <v>2219</v>
      </c>
      <c r="H42" s="62"/>
      <c r="I42" s="62"/>
      <c r="J42" s="62"/>
      <c r="K42" s="33">
        <f>0+G42</f>
        <v>2219</v>
      </c>
      <c r="L42" s="33">
        <f>0+K42</f>
        <v>2219</v>
      </c>
      <c r="M42" s="34">
        <f t="shared" si="4"/>
        <v>19781</v>
      </c>
      <c r="N42" s="63">
        <f t="shared" si="4"/>
        <v>19781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322" t="s">
        <v>208</v>
      </c>
      <c r="C43" s="323"/>
      <c r="D43" s="324"/>
      <c r="E43" s="153">
        <v>3000</v>
      </c>
      <c r="F43" s="31">
        <f t="shared" si="3"/>
        <v>3000</v>
      </c>
      <c r="G43" s="74">
        <v>2113</v>
      </c>
      <c r="H43" s="74"/>
      <c r="I43" s="74"/>
      <c r="J43" s="62"/>
      <c r="K43" s="33">
        <f>0+G43</f>
        <v>2113</v>
      </c>
      <c r="L43" s="33">
        <f>0+K43</f>
        <v>2113</v>
      </c>
      <c r="M43" s="34">
        <f t="shared" si="4"/>
        <v>887</v>
      </c>
      <c r="N43" s="63">
        <f t="shared" si="4"/>
        <v>887</v>
      </c>
      <c r="O43" s="64">
        <v>0</v>
      </c>
      <c r="P43" s="65">
        <v>0</v>
      </c>
      <c r="Q43" s="1"/>
      <c r="R43" s="37"/>
    </row>
    <row r="44" spans="1:18" ht="31.5" customHeight="1" thickBot="1">
      <c r="A44" s="51" t="s">
        <v>69</v>
      </c>
      <c r="B44" s="357" t="s">
        <v>70</v>
      </c>
      <c r="C44" s="358"/>
      <c r="D44" s="359"/>
      <c r="E44" s="53">
        <f>SUM(E47:E49)</f>
        <v>181000</v>
      </c>
      <c r="F44" s="73">
        <f t="shared" si="3"/>
        <v>181000</v>
      </c>
      <c r="G44" s="55">
        <f>G45+G46+G47</f>
        <v>60494</v>
      </c>
      <c r="H44" s="75"/>
      <c r="I44" s="75"/>
      <c r="J44" s="54"/>
      <c r="K44" s="55">
        <f>K45+K46+K47</f>
        <v>60494</v>
      </c>
      <c r="L44" s="55">
        <f>L45+L46+L47</f>
        <v>60494</v>
      </c>
      <c r="M44" s="56">
        <f t="shared" si="4"/>
        <v>120506</v>
      </c>
      <c r="N44" s="158">
        <f t="shared" si="4"/>
        <v>120506</v>
      </c>
      <c r="O44" s="58">
        <v>0</v>
      </c>
      <c r="P44" s="59">
        <v>0</v>
      </c>
      <c r="Q44" s="1"/>
      <c r="R44" s="1"/>
    </row>
    <row r="45" spans="1:18" ht="30" customHeight="1" thickBot="1">
      <c r="A45" s="60" t="s">
        <v>71</v>
      </c>
      <c r="B45" s="301" t="s">
        <v>53</v>
      </c>
      <c r="C45" s="302"/>
      <c r="D45" s="303"/>
      <c r="E45" s="155">
        <f>E48+E49</f>
        <v>181000</v>
      </c>
      <c r="F45" s="31">
        <f t="shared" si="3"/>
        <v>181000</v>
      </c>
      <c r="G45" s="33">
        <f>G48+G49</f>
        <v>60494</v>
      </c>
      <c r="H45" s="74"/>
      <c r="I45" s="74"/>
      <c r="J45" s="62"/>
      <c r="K45" s="33">
        <f>0+G45</f>
        <v>60494</v>
      </c>
      <c r="L45" s="33">
        <f>L48+L49</f>
        <v>60494</v>
      </c>
      <c r="M45" s="34">
        <f t="shared" si="4"/>
        <v>120506</v>
      </c>
      <c r="N45" s="35">
        <f t="shared" si="4"/>
        <v>120506</v>
      </c>
      <c r="O45" s="64">
        <v>0</v>
      </c>
      <c r="P45" s="65">
        <v>0</v>
      </c>
      <c r="Q45" s="1"/>
      <c r="R45" s="1"/>
    </row>
    <row r="46" spans="1:18" ht="20.2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5" ref="K46:K53">0+G46</f>
        <v>0</v>
      </c>
      <c r="L46" s="33">
        <f>0+K46</f>
        <v>0</v>
      </c>
      <c r="M46" s="34">
        <f t="shared" si="4"/>
        <v>0</v>
      </c>
      <c r="N46" s="63">
        <f t="shared" si="4"/>
        <v>0</v>
      </c>
      <c r="O46" s="64">
        <v>0</v>
      </c>
      <c r="P46" s="65">
        <v>0</v>
      </c>
      <c r="Q46" s="1"/>
      <c r="R46" s="1"/>
    </row>
    <row r="47" spans="1:18" ht="21.7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5"/>
        <v>0</v>
      </c>
      <c r="L47" s="33">
        <f>0+K47</f>
        <v>0</v>
      </c>
      <c r="M47" s="34">
        <f t="shared" si="4"/>
        <v>0</v>
      </c>
      <c r="N47" s="63">
        <f t="shared" si="4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308" t="s">
        <v>75</v>
      </c>
      <c r="C48" s="309"/>
      <c r="D48" s="310"/>
      <c r="E48" s="156">
        <v>171000</v>
      </c>
      <c r="F48" s="157">
        <f>0+E48</f>
        <v>171000</v>
      </c>
      <c r="G48" s="74">
        <v>60494</v>
      </c>
      <c r="H48" s="74"/>
      <c r="I48" s="74"/>
      <c r="J48" s="62"/>
      <c r="K48" s="33">
        <f>0+G48</f>
        <v>60494</v>
      </c>
      <c r="L48" s="33">
        <f>0+K48</f>
        <v>60494</v>
      </c>
      <c r="M48" s="34">
        <f t="shared" si="4"/>
        <v>110506</v>
      </c>
      <c r="N48" s="63">
        <f t="shared" si="4"/>
        <v>110506</v>
      </c>
      <c r="O48" s="64">
        <v>0</v>
      </c>
      <c r="P48" s="65">
        <v>0</v>
      </c>
      <c r="Q48" s="1"/>
      <c r="R48" s="37"/>
    </row>
    <row r="49" spans="1:18" ht="29.25" customHeight="1" thickBot="1">
      <c r="A49" s="60" t="s">
        <v>76</v>
      </c>
      <c r="B49" s="308" t="s">
        <v>77</v>
      </c>
      <c r="C49" s="309"/>
      <c r="D49" s="310"/>
      <c r="E49" s="156">
        <v>10000</v>
      </c>
      <c r="F49" s="157">
        <f>0+E49</f>
        <v>10000</v>
      </c>
      <c r="G49" s="74"/>
      <c r="H49" s="74"/>
      <c r="I49" s="74"/>
      <c r="J49" s="62"/>
      <c r="K49" s="33">
        <f t="shared" si="5"/>
        <v>0</v>
      </c>
      <c r="L49" s="33">
        <f>0+K49</f>
        <v>0</v>
      </c>
      <c r="M49" s="34">
        <f t="shared" si="4"/>
        <v>10000</v>
      </c>
      <c r="N49" s="63">
        <f t="shared" si="4"/>
        <v>10000</v>
      </c>
      <c r="O49" s="64">
        <v>0</v>
      </c>
      <c r="P49" s="65">
        <v>0</v>
      </c>
      <c r="Q49" s="1"/>
      <c r="R49" s="1"/>
    </row>
    <row r="50" spans="1:18" ht="26.25" customHeight="1" thickBot="1">
      <c r="A50" s="60" t="s">
        <v>78</v>
      </c>
      <c r="B50" s="308" t="s">
        <v>79</v>
      </c>
      <c r="C50" s="309"/>
      <c r="D50" s="310"/>
      <c r="E50" s="74">
        <v>0</v>
      </c>
      <c r="F50" s="31">
        <f>0+E50</f>
        <v>0</v>
      </c>
      <c r="G50" s="74"/>
      <c r="H50" s="74"/>
      <c r="I50" s="74"/>
      <c r="J50" s="62"/>
      <c r="K50" s="33">
        <f t="shared" si="5"/>
        <v>0</v>
      </c>
      <c r="L50" s="33">
        <f aca="true" t="shared" si="6" ref="L50:L57">0+K50</f>
        <v>0</v>
      </c>
      <c r="M50" s="34">
        <f t="shared" si="4"/>
        <v>0</v>
      </c>
      <c r="N50" s="63">
        <f t="shared" si="4"/>
        <v>0</v>
      </c>
      <c r="O50" s="64">
        <v>0</v>
      </c>
      <c r="P50" s="65">
        <v>0</v>
      </c>
      <c r="Q50" s="1"/>
      <c r="R50" s="1"/>
    </row>
    <row r="51" spans="1:18" ht="40.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5"/>
        <v>0</v>
      </c>
      <c r="L51" s="55">
        <f t="shared" si="6"/>
        <v>0</v>
      </c>
      <c r="M51" s="56">
        <f t="shared" si="4"/>
        <v>0</v>
      </c>
      <c r="N51" s="57">
        <f t="shared" si="4"/>
        <v>0</v>
      </c>
      <c r="O51" s="58">
        <v>0</v>
      </c>
      <c r="P51" s="59">
        <v>0</v>
      </c>
      <c r="Q51" s="1"/>
      <c r="R51" s="1"/>
    </row>
    <row r="52" spans="1:18" ht="30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5"/>
        <v>0</v>
      </c>
      <c r="L52" s="33">
        <f t="shared" si="6"/>
        <v>0</v>
      </c>
      <c r="M52" s="34">
        <f t="shared" si="4"/>
        <v>0</v>
      </c>
      <c r="N52" s="63">
        <f t="shared" si="4"/>
        <v>0</v>
      </c>
      <c r="O52" s="64">
        <v>0</v>
      </c>
      <c r="P52" s="65">
        <v>0</v>
      </c>
      <c r="Q52" s="1"/>
      <c r="R52" s="1"/>
    </row>
    <row r="53" spans="1:18" ht="22.5" customHeight="1" thickBot="1">
      <c r="A53" s="60" t="s">
        <v>83</v>
      </c>
      <c r="B53" s="77" t="s">
        <v>55</v>
      </c>
      <c r="C53" s="78"/>
      <c r="D53" s="78"/>
      <c r="E53" s="33"/>
      <c r="F53" s="33"/>
      <c r="G53" s="33"/>
      <c r="H53" s="33"/>
      <c r="I53" s="33"/>
      <c r="J53" s="62"/>
      <c r="K53" s="33">
        <f t="shared" si="5"/>
        <v>0</v>
      </c>
      <c r="L53" s="33">
        <f t="shared" si="6"/>
        <v>0</v>
      </c>
      <c r="M53" s="34">
        <f t="shared" si="4"/>
        <v>0</v>
      </c>
      <c r="N53" s="63">
        <f t="shared" si="4"/>
        <v>0</v>
      </c>
      <c r="O53" s="64">
        <v>0</v>
      </c>
      <c r="P53" s="65">
        <v>0</v>
      </c>
      <c r="Q53" s="1"/>
      <c r="R53" s="1"/>
    </row>
    <row r="54" spans="1:18" ht="46.5" customHeight="1" thickBot="1">
      <c r="A54" s="51" t="s">
        <v>84</v>
      </c>
      <c r="B54" s="357" t="s">
        <v>85</v>
      </c>
      <c r="C54" s="358"/>
      <c r="D54" s="359"/>
      <c r="E54" s="53">
        <f>SUM(E59:E63)</f>
        <v>341100</v>
      </c>
      <c r="F54" s="73">
        <f>F55+F56+F58</f>
        <v>341100</v>
      </c>
      <c r="G54" s="55">
        <f>G55+G56+G57+G58</f>
        <v>242118.31999999998</v>
      </c>
      <c r="H54" s="55"/>
      <c r="I54" s="55"/>
      <c r="J54" s="55">
        <f>J55+J56+J57+J58</f>
        <v>0</v>
      </c>
      <c r="K54" s="55">
        <f>K55+K56+K57</f>
        <v>242118.31999999998</v>
      </c>
      <c r="L54" s="55">
        <f>L55+L56+L57+L58</f>
        <v>242118.31999999998</v>
      </c>
      <c r="M54" s="56">
        <f t="shared" si="4"/>
        <v>98981.68000000002</v>
      </c>
      <c r="N54" s="70">
        <f t="shared" si="4"/>
        <v>98981.68000000002</v>
      </c>
      <c r="O54" s="58">
        <v>0</v>
      </c>
      <c r="P54" s="59">
        <v>0</v>
      </c>
      <c r="Q54" s="1"/>
      <c r="R54" s="37">
        <f>F59+F60+F62+F63-F58</f>
        <v>341100</v>
      </c>
    </row>
    <row r="55" spans="1:18" ht="29.25" customHeight="1" thickBot="1">
      <c r="A55" s="60" t="s">
        <v>86</v>
      </c>
      <c r="B55" s="301" t="s">
        <v>53</v>
      </c>
      <c r="C55" s="302"/>
      <c r="D55" s="303"/>
      <c r="E55" s="81"/>
      <c r="F55" s="191">
        <f>0+E55</f>
        <v>0</v>
      </c>
      <c r="G55" s="33">
        <f>G59+G60+G62+G63</f>
        <v>242118.31999999998</v>
      </c>
      <c r="H55" s="33"/>
      <c r="I55" s="33"/>
      <c r="J55" s="33"/>
      <c r="K55" s="33">
        <f>0+G55</f>
        <v>242118.31999999998</v>
      </c>
      <c r="L55" s="33">
        <f>0+K55</f>
        <v>242118.31999999998</v>
      </c>
      <c r="M55" s="34">
        <f t="shared" si="4"/>
        <v>-242118.31999999998</v>
      </c>
      <c r="N55" s="63">
        <f t="shared" si="4"/>
        <v>-242118.31999999998</v>
      </c>
      <c r="O55" s="64">
        <v>0</v>
      </c>
      <c r="P55" s="65">
        <v>0</v>
      </c>
      <c r="Q55" s="1"/>
      <c r="R55" s="37"/>
    </row>
    <row r="56" spans="1:18" ht="30.75" customHeight="1" thickBot="1">
      <c r="A56" s="60" t="s">
        <v>87</v>
      </c>
      <c r="B56" s="388" t="s">
        <v>88</v>
      </c>
      <c r="C56" s="389"/>
      <c r="D56" s="390"/>
      <c r="E56" s="81">
        <f>E59+E60+E62+E63</f>
        <v>341100</v>
      </c>
      <c r="F56" s="192">
        <f>0+E56</f>
        <v>341100</v>
      </c>
      <c r="G56" s="33"/>
      <c r="H56" s="33"/>
      <c r="I56" s="33"/>
      <c r="J56" s="33"/>
      <c r="K56" s="33">
        <f aca="true" t="shared" si="7" ref="K56:K61">0+G56</f>
        <v>0</v>
      </c>
      <c r="L56" s="33">
        <f t="shared" si="6"/>
        <v>0</v>
      </c>
      <c r="M56" s="34">
        <f aca="true" t="shared" si="8" ref="M56:N71">E56-K56</f>
        <v>341100</v>
      </c>
      <c r="N56" s="63">
        <f t="shared" si="8"/>
        <v>341100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 t="shared" si="7"/>
        <v>0</v>
      </c>
      <c r="L57" s="33">
        <f t="shared" si="6"/>
        <v>0</v>
      </c>
      <c r="M57" s="34">
        <f t="shared" si="8"/>
        <v>0</v>
      </c>
      <c r="N57" s="63">
        <f t="shared" si="8"/>
        <v>0</v>
      </c>
      <c r="O57" s="64">
        <v>0</v>
      </c>
      <c r="P57" s="65">
        <v>0</v>
      </c>
      <c r="Q57" s="1"/>
      <c r="R57" s="37">
        <f>L59+L60+L61+L62+L63</f>
        <v>242118.31999999998</v>
      </c>
    </row>
    <row r="58" spans="1:18" ht="33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0+K58</f>
        <v>0</v>
      </c>
      <c r="M58" s="34">
        <f t="shared" si="8"/>
        <v>0</v>
      </c>
      <c r="N58" s="63">
        <f t="shared" si="8"/>
        <v>0</v>
      </c>
      <c r="O58" s="64">
        <v>0</v>
      </c>
      <c r="P58" s="65">
        <v>0</v>
      </c>
      <c r="Q58" s="1"/>
      <c r="R58" s="37">
        <f>F59+F60+F62+F63</f>
        <v>341100</v>
      </c>
    </row>
    <row r="59" spans="1:18" ht="28.5" customHeight="1" thickBot="1">
      <c r="A59" s="60" t="s">
        <v>91</v>
      </c>
      <c r="B59" s="396" t="s">
        <v>92</v>
      </c>
      <c r="C59" s="397"/>
      <c r="D59" s="398"/>
      <c r="E59" s="156">
        <v>74000</v>
      </c>
      <c r="F59" s="31">
        <f>0+E59</f>
        <v>74000</v>
      </c>
      <c r="G59" s="74"/>
      <c r="H59" s="74"/>
      <c r="I59" s="74"/>
      <c r="J59" s="33"/>
      <c r="K59" s="33">
        <f>J59+G59</f>
        <v>0</v>
      </c>
      <c r="L59" s="33">
        <f>0+K59</f>
        <v>0</v>
      </c>
      <c r="M59" s="34">
        <f t="shared" si="8"/>
        <v>74000</v>
      </c>
      <c r="N59" s="35">
        <f t="shared" si="8"/>
        <v>74000</v>
      </c>
      <c r="O59" s="64">
        <v>0</v>
      </c>
      <c r="P59" s="65">
        <v>0</v>
      </c>
      <c r="Q59" s="1"/>
      <c r="R59" s="80"/>
    </row>
    <row r="60" spans="1:18" ht="21.75" customHeight="1" thickBot="1">
      <c r="A60" s="60" t="s">
        <v>93</v>
      </c>
      <c r="B60" s="325" t="s">
        <v>94</v>
      </c>
      <c r="C60" s="326"/>
      <c r="D60" s="326"/>
      <c r="E60" s="152">
        <v>250000</v>
      </c>
      <c r="F60" s="31">
        <f>0+E60</f>
        <v>250000</v>
      </c>
      <c r="G60" s="74">
        <v>231422.86</v>
      </c>
      <c r="H60" s="74"/>
      <c r="I60" s="74"/>
      <c r="J60" s="33"/>
      <c r="K60" s="33">
        <f>0+G60</f>
        <v>231422.86</v>
      </c>
      <c r="L60" s="33">
        <f>0+K60</f>
        <v>231422.86</v>
      </c>
      <c r="M60" s="34">
        <f t="shared" si="8"/>
        <v>18577.140000000014</v>
      </c>
      <c r="N60" s="63">
        <f t="shared" si="8"/>
        <v>18577.140000000014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 t="shared" si="7"/>
        <v>0</v>
      </c>
      <c r="L61" s="33">
        <f>0+K61</f>
        <v>0</v>
      </c>
      <c r="M61" s="34">
        <f t="shared" si="8"/>
        <v>0</v>
      </c>
      <c r="N61" s="63">
        <f t="shared" si="8"/>
        <v>0</v>
      </c>
      <c r="O61" s="64">
        <v>0</v>
      </c>
      <c r="P61" s="65">
        <v>0</v>
      </c>
      <c r="Q61" s="1"/>
      <c r="R61" s="1"/>
    </row>
    <row r="62" spans="1:18" ht="20.25" customHeight="1" thickBot="1">
      <c r="A62" s="60" t="s">
        <v>96</v>
      </c>
      <c r="B62" s="325" t="s">
        <v>97</v>
      </c>
      <c r="C62" s="326"/>
      <c r="D62" s="327"/>
      <c r="E62" s="152">
        <v>9000</v>
      </c>
      <c r="F62" s="31">
        <f>0+E62</f>
        <v>9000</v>
      </c>
      <c r="G62" s="83">
        <v>5713.03</v>
      </c>
      <c r="H62" s="84"/>
      <c r="I62" s="74"/>
      <c r="J62" s="74"/>
      <c r="K62" s="33">
        <f>0+J62+G62</f>
        <v>5713.03</v>
      </c>
      <c r="L62" s="33">
        <f>0+K62</f>
        <v>5713.03</v>
      </c>
      <c r="M62" s="34">
        <f t="shared" si="8"/>
        <v>3286.9700000000003</v>
      </c>
      <c r="N62" s="63">
        <f t="shared" si="8"/>
        <v>3286.9700000000003</v>
      </c>
      <c r="O62" s="64">
        <v>0</v>
      </c>
      <c r="P62" s="65">
        <v>0</v>
      </c>
      <c r="Q62" s="1"/>
      <c r="R62" s="1"/>
    </row>
    <row r="63" spans="1:18" ht="27" customHeight="1" thickBot="1">
      <c r="A63" s="60" t="s">
        <v>98</v>
      </c>
      <c r="B63" s="325" t="s">
        <v>99</v>
      </c>
      <c r="C63" s="326"/>
      <c r="D63" s="327"/>
      <c r="E63" s="152">
        <v>8100</v>
      </c>
      <c r="F63" s="31">
        <f>0+E63</f>
        <v>8100</v>
      </c>
      <c r="G63" s="85">
        <v>4982.43</v>
      </c>
      <c r="H63" s="74"/>
      <c r="I63" s="74"/>
      <c r="J63" s="74"/>
      <c r="K63" s="33">
        <f>0+J63+G63</f>
        <v>4982.43</v>
      </c>
      <c r="L63" s="33">
        <f>0+K63</f>
        <v>4982.43</v>
      </c>
      <c r="M63" s="34">
        <f t="shared" si="8"/>
        <v>3117.5699999999997</v>
      </c>
      <c r="N63" s="63">
        <f t="shared" si="8"/>
        <v>3117.5699999999997</v>
      </c>
      <c r="O63" s="64">
        <v>0</v>
      </c>
      <c r="P63" s="65">
        <v>0</v>
      </c>
      <c r="Q63" s="1"/>
      <c r="R63" s="1"/>
    </row>
    <row r="64" spans="1:18" ht="33.75" customHeight="1" thickBot="1">
      <c r="A64" s="86" t="s">
        <v>100</v>
      </c>
      <c r="B64" s="382" t="s">
        <v>101</v>
      </c>
      <c r="C64" s="383"/>
      <c r="D64" s="384"/>
      <c r="E64" s="53">
        <f>E65</f>
        <v>200000</v>
      </c>
      <c r="F64" s="73">
        <f>F65+F66</f>
        <v>200000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0</v>
      </c>
      <c r="M64" s="56">
        <f t="shared" si="8"/>
        <v>200000</v>
      </c>
      <c r="N64" s="70">
        <f t="shared" si="8"/>
        <v>200000</v>
      </c>
      <c r="O64" s="58">
        <v>0</v>
      </c>
      <c r="P64" s="59">
        <v>0</v>
      </c>
      <c r="Q64" s="1"/>
      <c r="R64" s="1"/>
    </row>
    <row r="65" spans="1:18" ht="27" customHeight="1" thickBot="1">
      <c r="A65" s="60" t="s">
        <v>102</v>
      </c>
      <c r="B65" s="301" t="s">
        <v>53</v>
      </c>
      <c r="C65" s="302"/>
      <c r="D65" s="303"/>
      <c r="E65" s="45">
        <v>200000</v>
      </c>
      <c r="F65" s="31">
        <f>0+E65</f>
        <v>200000</v>
      </c>
      <c r="G65" s="74"/>
      <c r="H65" s="33"/>
      <c r="I65" s="33"/>
      <c r="J65" s="33"/>
      <c r="K65" s="33">
        <f>0+G65</f>
        <v>0</v>
      </c>
      <c r="L65" s="33">
        <f>0+K65</f>
        <v>0</v>
      </c>
      <c r="M65" s="34">
        <f t="shared" si="8"/>
        <v>200000</v>
      </c>
      <c r="N65" s="35">
        <f t="shared" si="8"/>
        <v>200000</v>
      </c>
      <c r="O65" s="64">
        <v>0</v>
      </c>
      <c r="P65" s="65">
        <v>0</v>
      </c>
      <c r="Q65" s="1"/>
      <c r="R65" s="1"/>
    </row>
    <row r="66" spans="1:18" ht="31.5" customHeight="1" thickBot="1">
      <c r="A66" s="60" t="s">
        <v>103</v>
      </c>
      <c r="B66" s="301" t="s">
        <v>104</v>
      </c>
      <c r="C66" s="302"/>
      <c r="D66" s="303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8"/>
        <v>0</v>
      </c>
      <c r="N66" s="35">
        <f t="shared" si="8"/>
        <v>0</v>
      </c>
      <c r="O66" s="64">
        <v>0</v>
      </c>
      <c r="P66" s="65">
        <v>0</v>
      </c>
      <c r="Q66" s="1"/>
      <c r="R66" s="1"/>
    </row>
    <row r="67" spans="1:18" ht="38.25" customHeight="1" thickBot="1">
      <c r="A67" s="69" t="s">
        <v>105</v>
      </c>
      <c r="B67" s="385" t="s">
        <v>106</v>
      </c>
      <c r="C67" s="386"/>
      <c r="D67" s="387"/>
      <c r="E67" s="53">
        <f>E68</f>
        <v>100000</v>
      </c>
      <c r="F67" s="73">
        <f>0+E67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8"/>
        <v>100000</v>
      </c>
      <c r="N67" s="70">
        <f t="shared" si="8"/>
        <v>100000</v>
      </c>
      <c r="O67" s="58">
        <v>0</v>
      </c>
      <c r="P67" s="59">
        <v>0</v>
      </c>
      <c r="Q67" s="1"/>
      <c r="R67" s="37"/>
    </row>
    <row r="68" spans="1:18" ht="32.25" customHeight="1" thickBot="1">
      <c r="A68" s="60" t="s">
        <v>107</v>
      </c>
      <c r="B68" s="319" t="s">
        <v>53</v>
      </c>
      <c r="C68" s="320"/>
      <c r="D68" s="321"/>
      <c r="E68" s="61">
        <v>100000</v>
      </c>
      <c r="F68" s="31">
        <f>0+E68</f>
        <v>100000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100000</v>
      </c>
      <c r="N68" s="35">
        <f t="shared" si="8"/>
        <v>100000</v>
      </c>
      <c r="O68" s="64">
        <v>0</v>
      </c>
      <c r="P68" s="65">
        <v>0</v>
      </c>
      <c r="Q68" s="1"/>
      <c r="R68" s="37"/>
    </row>
    <row r="69" spans="1:18" ht="29.25" customHeight="1" thickBot="1">
      <c r="A69" s="60" t="s">
        <v>108</v>
      </c>
      <c r="B69" s="319" t="s">
        <v>104</v>
      </c>
      <c r="C69" s="320"/>
      <c r="D69" s="321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8"/>
        <v>0</v>
      </c>
      <c r="N69" s="35">
        <f t="shared" si="8"/>
        <v>0</v>
      </c>
      <c r="O69" s="64">
        <v>0</v>
      </c>
      <c r="P69" s="65">
        <v>0</v>
      </c>
      <c r="Q69" s="1"/>
      <c r="R69" s="37"/>
    </row>
    <row r="70" spans="1:18" ht="26.2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8"/>
        <v>0</v>
      </c>
      <c r="N70" s="35">
        <f t="shared" si="8"/>
        <v>0</v>
      </c>
      <c r="O70" s="64">
        <v>0</v>
      </c>
      <c r="P70" s="65">
        <v>0</v>
      </c>
      <c r="Q70" s="1"/>
      <c r="R70" s="37"/>
    </row>
    <row r="71" spans="1:18" ht="21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0+E71</f>
        <v>3000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0</v>
      </c>
      <c r="M71" s="56">
        <f t="shared" si="8"/>
        <v>3000</v>
      </c>
      <c r="N71" s="70">
        <f t="shared" si="8"/>
        <v>3000</v>
      </c>
      <c r="O71" s="58">
        <v>0</v>
      </c>
      <c r="P71" s="59">
        <v>0</v>
      </c>
      <c r="Q71" s="1"/>
      <c r="R71" s="1"/>
    </row>
    <row r="72" spans="1:18" ht="28.5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0+E72</f>
        <v>3000</v>
      </c>
      <c r="G72" s="74"/>
      <c r="H72" s="33"/>
      <c r="I72" s="33"/>
      <c r="J72" s="33"/>
      <c r="K72" s="33">
        <f>G72</f>
        <v>0</v>
      </c>
      <c r="L72" s="33">
        <f>0+K72</f>
        <v>0</v>
      </c>
      <c r="M72" s="34">
        <f aca="true" t="shared" si="9" ref="M72:N82">E72-K72</f>
        <v>3000</v>
      </c>
      <c r="N72" s="35">
        <f t="shared" si="9"/>
        <v>3000</v>
      </c>
      <c r="O72" s="64">
        <v>0</v>
      </c>
      <c r="P72" s="65">
        <v>0</v>
      </c>
      <c r="Q72" s="1"/>
      <c r="R72" s="1"/>
    </row>
    <row r="73" spans="1:18" ht="28.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9"/>
        <v>0</v>
      </c>
      <c r="N73" s="35">
        <f t="shared" si="9"/>
        <v>0</v>
      </c>
      <c r="O73" s="64">
        <v>0</v>
      </c>
      <c r="P73" s="65">
        <v>0</v>
      </c>
      <c r="Q73" s="1"/>
      <c r="R73" s="1"/>
    </row>
    <row r="74" spans="1:18" ht="45" customHeight="1" thickBot="1">
      <c r="A74" s="87" t="s">
        <v>112</v>
      </c>
      <c r="B74" s="379" t="s">
        <v>113</v>
      </c>
      <c r="C74" s="380"/>
      <c r="D74" s="381"/>
      <c r="E74" s="53">
        <f>E75</f>
        <v>50000</v>
      </c>
      <c r="F74" s="73">
        <f>F75+F76</f>
        <v>50000</v>
      </c>
      <c r="G74" s="75">
        <f>G75+G76+G77</f>
        <v>0</v>
      </c>
      <c r="H74" s="55"/>
      <c r="I74" s="55">
        <f>I75+I76</f>
        <v>3000</v>
      </c>
      <c r="J74" s="55"/>
      <c r="K74" s="55">
        <f>K75+K76+K77</f>
        <v>3000</v>
      </c>
      <c r="L74" s="55">
        <f>L75+L76+L77</f>
        <v>3000</v>
      </c>
      <c r="M74" s="56">
        <f t="shared" si="9"/>
        <v>47000</v>
      </c>
      <c r="N74" s="70">
        <f t="shared" si="9"/>
        <v>47000</v>
      </c>
      <c r="O74" s="58">
        <v>0</v>
      </c>
      <c r="P74" s="59">
        <v>0</v>
      </c>
      <c r="Q74" s="1"/>
      <c r="R74" s="1"/>
    </row>
    <row r="75" spans="1:18" ht="27.75" customHeight="1" thickBot="1">
      <c r="A75" s="60" t="s">
        <v>114</v>
      </c>
      <c r="B75" s="301" t="s">
        <v>53</v>
      </c>
      <c r="C75" s="302"/>
      <c r="D75" s="303"/>
      <c r="E75" s="61">
        <v>50000</v>
      </c>
      <c r="F75" s="31">
        <f>0+E75</f>
        <v>50000</v>
      </c>
      <c r="G75" s="74"/>
      <c r="H75" s="33"/>
      <c r="I75" s="33"/>
      <c r="J75" s="33"/>
      <c r="K75" s="33">
        <f>G75</f>
        <v>0</v>
      </c>
      <c r="L75" s="33">
        <f>0+K75</f>
        <v>0</v>
      </c>
      <c r="M75" s="34">
        <f>E75-K75</f>
        <v>50000</v>
      </c>
      <c r="N75" s="35">
        <f t="shared" si="9"/>
        <v>50000</v>
      </c>
      <c r="O75" s="64">
        <v>0</v>
      </c>
      <c r="P75" s="65">
        <v>0</v>
      </c>
      <c r="Q75" s="1"/>
      <c r="R75" s="1"/>
    </row>
    <row r="76" spans="1:18" ht="28.5" customHeight="1" thickBot="1">
      <c r="A76" s="60" t="s">
        <v>115</v>
      </c>
      <c r="B76" s="301" t="s">
        <v>104</v>
      </c>
      <c r="C76" s="302"/>
      <c r="D76" s="303"/>
      <c r="E76" s="81"/>
      <c r="F76" s="31"/>
      <c r="G76" s="74"/>
      <c r="H76" s="33"/>
      <c r="I76" s="33">
        <v>3000</v>
      </c>
      <c r="J76" s="33"/>
      <c r="K76" s="33">
        <f>I76</f>
        <v>3000</v>
      </c>
      <c r="L76" s="33">
        <f>0+K76</f>
        <v>3000</v>
      </c>
      <c r="M76" s="34">
        <f t="shared" si="9"/>
        <v>-3000</v>
      </c>
      <c r="N76" s="35">
        <f t="shared" si="9"/>
        <v>-3000</v>
      </c>
      <c r="O76" s="64">
        <v>0</v>
      </c>
      <c r="P76" s="65">
        <v>0</v>
      </c>
      <c r="Q76" s="1"/>
      <c r="R76" s="1"/>
    </row>
    <row r="77" spans="1:18" ht="19.5" customHeight="1" thickBot="1">
      <c r="A77" s="60" t="s">
        <v>116</v>
      </c>
      <c r="B77" s="77" t="s">
        <v>55</v>
      </c>
      <c r="C77" s="78"/>
      <c r="D77" s="88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9"/>
        <v>0</v>
      </c>
      <c r="N77" s="35">
        <f t="shared" si="9"/>
        <v>0</v>
      </c>
      <c r="O77" s="64">
        <v>0</v>
      </c>
      <c r="P77" s="65">
        <v>0</v>
      </c>
      <c r="Q77" s="1"/>
      <c r="R77" s="1"/>
    </row>
    <row r="78" spans="1:18" ht="46.5" customHeight="1" thickBot="1">
      <c r="A78" s="69" t="s">
        <v>117</v>
      </c>
      <c r="B78" s="357" t="s">
        <v>118</v>
      </c>
      <c r="C78" s="358"/>
      <c r="D78" s="359"/>
      <c r="E78" s="53">
        <f>E79</f>
        <v>1500</v>
      </c>
      <c r="F78" s="73">
        <f>F79</f>
        <v>1500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9"/>
        <v>1500</v>
      </c>
      <c r="N78" s="70">
        <f t="shared" si="9"/>
        <v>1500</v>
      </c>
      <c r="O78" s="58">
        <v>0</v>
      </c>
      <c r="P78" s="59">
        <v>0</v>
      </c>
      <c r="Q78" s="1"/>
      <c r="R78" s="1"/>
    </row>
    <row r="79" spans="1:18" ht="28.5" customHeight="1" thickBot="1">
      <c r="A79" s="60" t="s">
        <v>119</v>
      </c>
      <c r="B79" s="301" t="s">
        <v>53</v>
      </c>
      <c r="C79" s="302"/>
      <c r="D79" s="303"/>
      <c r="E79" s="81">
        <v>1500</v>
      </c>
      <c r="F79" s="31">
        <f>0+E79</f>
        <v>1500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1500</v>
      </c>
      <c r="N79" s="35">
        <f t="shared" si="9"/>
        <v>1500</v>
      </c>
      <c r="O79" s="64">
        <v>0</v>
      </c>
      <c r="P79" s="65">
        <v>0</v>
      </c>
      <c r="Q79" s="1"/>
      <c r="R79" s="1"/>
    </row>
    <row r="80" spans="1:18" ht="26.2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9"/>
        <v>0</v>
      </c>
      <c r="N80" s="70">
        <f t="shared" si="9"/>
        <v>0</v>
      </c>
      <c r="O80" s="58">
        <v>0</v>
      </c>
      <c r="P80" s="59">
        <v>0</v>
      </c>
      <c r="Q80" s="1"/>
      <c r="R80" s="1"/>
    </row>
    <row r="81" spans="1:18" ht="28.5" customHeight="1" thickBot="1">
      <c r="A81" s="60" t="s">
        <v>122</v>
      </c>
      <c r="B81" s="301" t="s">
        <v>53</v>
      </c>
      <c r="C81" s="302"/>
      <c r="D81" s="303"/>
      <c r="E81" s="81"/>
      <c r="F81" s="31">
        <f>0+E81</f>
        <v>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9"/>
        <v>0</v>
      </c>
      <c r="N81" s="35">
        <f t="shared" si="9"/>
        <v>0</v>
      </c>
      <c r="O81" s="64">
        <v>0</v>
      </c>
      <c r="P81" s="65">
        <v>0</v>
      </c>
      <c r="Q81" s="1"/>
      <c r="R81" s="1"/>
    </row>
    <row r="82" spans="1:18" ht="24.75" customHeight="1" thickBot="1">
      <c r="A82" s="60" t="s">
        <v>123</v>
      </c>
      <c r="B82" s="77" t="s">
        <v>55</v>
      </c>
      <c r="C82" s="78"/>
      <c r="D82" s="88"/>
      <c r="E82" s="81"/>
      <c r="F82" s="33"/>
      <c r="G82" s="74"/>
      <c r="H82" s="92"/>
      <c r="I82" s="33"/>
      <c r="J82" s="92"/>
      <c r="K82" s="33">
        <f>0+J82</f>
        <v>0</v>
      </c>
      <c r="L82" s="33"/>
      <c r="M82" s="34">
        <f>E82-K82</f>
        <v>0</v>
      </c>
      <c r="N82" s="35">
        <f t="shared" si="9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4.5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66" customHeight="1" thickBot="1">
      <c r="A86" s="361"/>
      <c r="B86" s="371"/>
      <c r="C86" s="372"/>
      <c r="D86" s="373"/>
      <c r="E86" s="375"/>
      <c r="F86" s="377"/>
      <c r="G86" s="47" t="s">
        <v>45</v>
      </c>
      <c r="H86" s="47" t="s">
        <v>46</v>
      </c>
      <c r="I86" s="47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/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47">
        <v>3</v>
      </c>
      <c r="G87" s="47">
        <v>4</v>
      </c>
      <c r="H87" s="47">
        <v>5</v>
      </c>
      <c r="I87" s="7">
        <v>6</v>
      </c>
      <c r="J87" s="7">
        <v>7</v>
      </c>
      <c r="K87" s="48">
        <v>8</v>
      </c>
      <c r="L87" s="20">
        <v>9</v>
      </c>
      <c r="M87" s="7">
        <v>10</v>
      </c>
      <c r="N87" s="20">
        <v>11</v>
      </c>
      <c r="O87" s="7">
        <v>12</v>
      </c>
      <c r="P87" s="20">
        <v>13</v>
      </c>
      <c r="Q87" s="1"/>
      <c r="R87" s="1"/>
    </row>
    <row r="88" spans="1:18" ht="40.5" customHeight="1" thickBot="1">
      <c r="A88" s="51" t="s">
        <v>125</v>
      </c>
      <c r="B88" s="357" t="s">
        <v>126</v>
      </c>
      <c r="C88" s="358"/>
      <c r="D88" s="359"/>
      <c r="E88" s="53">
        <f>E89</f>
        <v>36450</v>
      </c>
      <c r="F88" s="73">
        <f>F89+F90+F91+F92</f>
        <v>36450</v>
      </c>
      <c r="G88" s="53">
        <f>G89+G90+G91+G92</f>
        <v>9174</v>
      </c>
      <c r="H88" s="55"/>
      <c r="I88" s="55">
        <f>I89+I90+I91</f>
        <v>0</v>
      </c>
      <c r="J88" s="55"/>
      <c r="K88" s="93">
        <f>K89+K90+K91+K92</f>
        <v>9174</v>
      </c>
      <c r="L88" s="55">
        <f>L89+L90+L91+L92</f>
        <v>9174</v>
      </c>
      <c r="M88" s="56">
        <f aca="true" t="shared" si="10" ref="M88:N103">E88-K88</f>
        <v>27276</v>
      </c>
      <c r="N88" s="70">
        <f t="shared" si="10"/>
        <v>27276</v>
      </c>
      <c r="O88" s="58">
        <v>0</v>
      </c>
      <c r="P88" s="59">
        <v>0</v>
      </c>
      <c r="Q88" s="37"/>
      <c r="R88" s="1"/>
    </row>
    <row r="89" spans="1:18" ht="28.5" customHeight="1" thickBot="1">
      <c r="A89" s="60" t="s">
        <v>127</v>
      </c>
      <c r="B89" s="301" t="s">
        <v>53</v>
      </c>
      <c r="C89" s="302"/>
      <c r="D89" s="303"/>
      <c r="E89" s="61">
        <f>E93+E94+E96+E97+E98+E100+E99+E95</f>
        <v>36450</v>
      </c>
      <c r="F89" s="31">
        <f>0+E89</f>
        <v>36450</v>
      </c>
      <c r="G89" s="45">
        <f>G93+G94+G96+G97+G98+G99+G100</f>
        <v>9174</v>
      </c>
      <c r="H89" s="33"/>
      <c r="I89" s="33"/>
      <c r="J89" s="33"/>
      <c r="K89" s="94">
        <f>G89</f>
        <v>9174</v>
      </c>
      <c r="L89" s="33">
        <f>L93+L94+L96+L97+L98+L99+L100+L95</f>
        <v>9174</v>
      </c>
      <c r="M89" s="34">
        <f t="shared" si="10"/>
        <v>27276</v>
      </c>
      <c r="N89" s="35">
        <f t="shared" si="10"/>
        <v>27276</v>
      </c>
      <c r="O89" s="64">
        <v>0</v>
      </c>
      <c r="P89" s="65">
        <v>0</v>
      </c>
      <c r="Q89" s="37"/>
      <c r="R89" s="1"/>
    </row>
    <row r="90" spans="1:18" ht="26.25" customHeight="1" thickBot="1">
      <c r="A90" s="60" t="s">
        <v>128</v>
      </c>
      <c r="B90" s="351" t="s">
        <v>51</v>
      </c>
      <c r="C90" s="352"/>
      <c r="D90" s="353"/>
      <c r="E90" s="61"/>
      <c r="F90" s="31"/>
      <c r="G90" s="45"/>
      <c r="H90" s="33"/>
      <c r="I90" s="33"/>
      <c r="J90" s="33"/>
      <c r="K90" s="94">
        <f aca="true" t="shared" si="11" ref="K90:K99">G90</f>
        <v>0</v>
      </c>
      <c r="L90" s="33"/>
      <c r="M90" s="34">
        <f t="shared" si="10"/>
        <v>0</v>
      </c>
      <c r="N90" s="35">
        <f t="shared" si="10"/>
        <v>0</v>
      </c>
      <c r="O90" s="64">
        <v>0</v>
      </c>
      <c r="P90" s="65">
        <v>0</v>
      </c>
      <c r="Q90" s="37"/>
      <c r="R90" s="1"/>
    </row>
    <row r="91" spans="1:18" ht="30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10"/>
        <v>0</v>
      </c>
      <c r="N91" s="35">
        <f t="shared" si="10"/>
        <v>0</v>
      </c>
      <c r="O91" s="64">
        <v>0</v>
      </c>
      <c r="P91" s="65">
        <v>0</v>
      </c>
      <c r="Q91" s="37"/>
      <c r="R91" s="1"/>
    </row>
    <row r="92" spans="1:18" ht="25.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/>
      <c r="K92" s="94">
        <f t="shared" si="11"/>
        <v>0</v>
      </c>
      <c r="L92" s="33">
        <f>0+K92</f>
        <v>0</v>
      </c>
      <c r="M92" s="34">
        <f t="shared" si="10"/>
        <v>0</v>
      </c>
      <c r="N92" s="35">
        <f t="shared" si="10"/>
        <v>0</v>
      </c>
      <c r="O92" s="64">
        <v>0</v>
      </c>
      <c r="P92" s="65">
        <v>0</v>
      </c>
      <c r="Q92" s="37"/>
      <c r="R92" s="80">
        <f>L93+L94+L95+L96+L97+L98+L99+L100</f>
        <v>9174</v>
      </c>
    </row>
    <row r="93" spans="1:18" ht="23.25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192">
        <f>0+E93</f>
        <v>3150</v>
      </c>
      <c r="G93" s="193">
        <v>3000</v>
      </c>
      <c r="H93" s="74"/>
      <c r="I93" s="74"/>
      <c r="J93" s="74"/>
      <c r="K93" s="94">
        <f t="shared" si="11"/>
        <v>3000</v>
      </c>
      <c r="L93" s="33">
        <f aca="true" t="shared" si="12" ref="L93:L98">0+K93</f>
        <v>3000</v>
      </c>
      <c r="M93" s="34">
        <f t="shared" si="10"/>
        <v>150</v>
      </c>
      <c r="N93" s="35">
        <f t="shared" si="10"/>
        <v>150</v>
      </c>
      <c r="O93" s="64">
        <v>0</v>
      </c>
      <c r="P93" s="65">
        <v>0</v>
      </c>
      <c r="Q93" s="1"/>
      <c r="R93" s="37">
        <f>L89+L90+L91+L92</f>
        <v>9174</v>
      </c>
    </row>
    <row r="94" spans="1:18" ht="30" customHeight="1" thickBot="1">
      <c r="A94" s="60" t="s">
        <v>133</v>
      </c>
      <c r="B94" s="322" t="s">
        <v>134</v>
      </c>
      <c r="C94" s="323"/>
      <c r="D94" s="324"/>
      <c r="E94" s="152">
        <v>4800</v>
      </c>
      <c r="F94" s="192">
        <f>0+E94</f>
        <v>4800</v>
      </c>
      <c r="G94" s="193">
        <v>3200</v>
      </c>
      <c r="H94" s="74"/>
      <c r="I94" s="74"/>
      <c r="J94" s="74"/>
      <c r="K94" s="94">
        <f>G94</f>
        <v>3200</v>
      </c>
      <c r="L94" s="33">
        <f t="shared" si="12"/>
        <v>3200</v>
      </c>
      <c r="M94" s="34">
        <f t="shared" si="10"/>
        <v>1600</v>
      </c>
      <c r="N94" s="35">
        <f t="shared" si="10"/>
        <v>1600</v>
      </c>
      <c r="O94" s="64">
        <v>0</v>
      </c>
      <c r="P94" s="65">
        <v>0</v>
      </c>
      <c r="Q94" s="1"/>
      <c r="R94" s="1"/>
    </row>
    <row r="95" spans="1:18" ht="25.5" customHeight="1" thickBot="1">
      <c r="A95" s="60" t="s">
        <v>135</v>
      </c>
      <c r="B95" s="322" t="s">
        <v>136</v>
      </c>
      <c r="C95" s="323"/>
      <c r="D95" s="324"/>
      <c r="E95" s="152"/>
      <c r="F95" s="31">
        <f>0+E95</f>
        <v>0</v>
      </c>
      <c r="G95" s="45"/>
      <c r="H95" s="74"/>
      <c r="I95" s="74"/>
      <c r="J95" s="74"/>
      <c r="K95" s="94">
        <f t="shared" si="11"/>
        <v>0</v>
      </c>
      <c r="L95" s="33">
        <f t="shared" si="12"/>
        <v>0</v>
      </c>
      <c r="M95" s="34">
        <f t="shared" si="10"/>
        <v>0</v>
      </c>
      <c r="N95" s="35">
        <f t="shared" si="10"/>
        <v>0</v>
      </c>
      <c r="O95" s="64">
        <v>0</v>
      </c>
      <c r="P95" s="65">
        <v>0</v>
      </c>
      <c r="Q95" s="1"/>
      <c r="R95" s="1"/>
    </row>
    <row r="96" spans="1:18" ht="24.75" customHeight="1" thickBot="1">
      <c r="A96" s="60" t="s">
        <v>137</v>
      </c>
      <c r="B96" s="322" t="s">
        <v>138</v>
      </c>
      <c r="C96" s="323"/>
      <c r="D96" s="324"/>
      <c r="E96" s="152">
        <v>1300</v>
      </c>
      <c r="F96" s="31">
        <f aca="true" t="shared" si="13" ref="F96:F103">0+E96</f>
        <v>1300</v>
      </c>
      <c r="G96" s="45"/>
      <c r="H96" s="74"/>
      <c r="I96" s="74"/>
      <c r="J96" s="74"/>
      <c r="K96" s="94">
        <f t="shared" si="11"/>
        <v>0</v>
      </c>
      <c r="L96" s="33">
        <f t="shared" si="12"/>
        <v>0</v>
      </c>
      <c r="M96" s="34">
        <f t="shared" si="10"/>
        <v>1300</v>
      </c>
      <c r="N96" s="35">
        <f t="shared" si="10"/>
        <v>1300</v>
      </c>
      <c r="O96" s="64">
        <v>0</v>
      </c>
      <c r="P96" s="65">
        <v>0</v>
      </c>
      <c r="Q96" s="1"/>
      <c r="R96" s="1"/>
    </row>
    <row r="97" spans="1:18" ht="24" customHeight="1" thickBot="1">
      <c r="A97" s="60" t="s">
        <v>139</v>
      </c>
      <c r="B97" s="308" t="s">
        <v>140</v>
      </c>
      <c r="C97" s="309"/>
      <c r="D97" s="310"/>
      <c r="E97" s="152">
        <v>7000</v>
      </c>
      <c r="F97" s="31">
        <f t="shared" si="13"/>
        <v>7000</v>
      </c>
      <c r="G97" s="45">
        <v>2974</v>
      </c>
      <c r="H97" s="74"/>
      <c r="I97" s="74"/>
      <c r="J97" s="74"/>
      <c r="K97" s="94">
        <f>G97+I97</f>
        <v>2974</v>
      </c>
      <c r="L97" s="33">
        <f t="shared" si="12"/>
        <v>2974</v>
      </c>
      <c r="M97" s="34">
        <f t="shared" si="10"/>
        <v>4026</v>
      </c>
      <c r="N97" s="35">
        <f t="shared" si="10"/>
        <v>4026</v>
      </c>
      <c r="O97" s="64">
        <v>0</v>
      </c>
      <c r="P97" s="65">
        <v>0</v>
      </c>
      <c r="Q97" s="1"/>
      <c r="R97" s="71">
        <f>F93+F94+F95+F96+F97+F98+F99+F100</f>
        <v>36450</v>
      </c>
    </row>
    <row r="98" spans="1:16" ht="23.25" customHeight="1" thickBot="1">
      <c r="A98" s="60" t="s">
        <v>141</v>
      </c>
      <c r="B98" s="308" t="s">
        <v>142</v>
      </c>
      <c r="C98" s="309"/>
      <c r="D98" s="310"/>
      <c r="E98" s="152">
        <v>3300</v>
      </c>
      <c r="F98" s="31">
        <f t="shared" si="13"/>
        <v>3300</v>
      </c>
      <c r="G98" s="45"/>
      <c r="H98" s="74"/>
      <c r="I98" s="74"/>
      <c r="J98" s="74"/>
      <c r="K98" s="94">
        <f t="shared" si="11"/>
        <v>0</v>
      </c>
      <c r="L98" s="33">
        <f t="shared" si="12"/>
        <v>0</v>
      </c>
      <c r="M98" s="34">
        <f t="shared" si="10"/>
        <v>3300</v>
      </c>
      <c r="N98" s="35">
        <f t="shared" si="10"/>
        <v>3300</v>
      </c>
      <c r="O98" s="64">
        <v>0</v>
      </c>
      <c r="P98" s="65">
        <v>0</v>
      </c>
    </row>
    <row r="99" spans="1:16" ht="31.5" customHeight="1" thickBot="1">
      <c r="A99" s="60" t="s">
        <v>143</v>
      </c>
      <c r="B99" s="308" t="s">
        <v>144</v>
      </c>
      <c r="C99" s="309"/>
      <c r="D99" s="310"/>
      <c r="E99" s="152">
        <v>7000</v>
      </c>
      <c r="F99" s="31">
        <f t="shared" si="13"/>
        <v>7000</v>
      </c>
      <c r="G99" s="45"/>
      <c r="H99" s="74"/>
      <c r="I99" s="74"/>
      <c r="J99" s="74"/>
      <c r="K99" s="94">
        <f t="shared" si="11"/>
        <v>0</v>
      </c>
      <c r="L99" s="33">
        <f>0+K99</f>
        <v>0</v>
      </c>
      <c r="M99" s="34">
        <f t="shared" si="10"/>
        <v>7000</v>
      </c>
      <c r="N99" s="35">
        <f t="shared" si="10"/>
        <v>7000</v>
      </c>
      <c r="O99" s="64">
        <v>0</v>
      </c>
      <c r="P99" s="65">
        <v>0</v>
      </c>
    </row>
    <row r="100" spans="1:16" ht="28.5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 t="shared" si="13"/>
        <v>9900</v>
      </c>
      <c r="G100" s="45"/>
      <c r="H100" s="74"/>
      <c r="I100" s="74"/>
      <c r="J100" s="74"/>
      <c r="K100" s="94">
        <f>G100</f>
        <v>0</v>
      </c>
      <c r="L100" s="33">
        <f>0+K100</f>
        <v>0</v>
      </c>
      <c r="M100" s="34">
        <f t="shared" si="10"/>
        <v>9900</v>
      </c>
      <c r="N100" s="35">
        <f t="shared" si="10"/>
        <v>9900</v>
      </c>
      <c r="O100" s="64">
        <v>0</v>
      </c>
      <c r="P100" s="65">
        <v>0</v>
      </c>
    </row>
    <row r="101" spans="1:18" ht="34.5" customHeight="1" thickBot="1">
      <c r="A101" s="86" t="s">
        <v>147</v>
      </c>
      <c r="B101" s="354" t="s">
        <v>148</v>
      </c>
      <c r="C101" s="306"/>
      <c r="D101" s="307"/>
      <c r="E101" s="73">
        <f>E102+E103</f>
        <v>52550</v>
      </c>
      <c r="F101" s="73">
        <f t="shared" si="13"/>
        <v>52550</v>
      </c>
      <c r="G101" s="73">
        <f>G102+G104+G105</f>
        <v>1318</v>
      </c>
      <c r="H101" s="75">
        <f>H103</f>
        <v>0</v>
      </c>
      <c r="I101" s="55">
        <f>I104</f>
        <v>0</v>
      </c>
      <c r="J101" s="55"/>
      <c r="K101" s="73">
        <f>G101+H101+I101+J101</f>
        <v>1318</v>
      </c>
      <c r="L101" s="55">
        <f>L102+L103+L104+L105</f>
        <v>1318</v>
      </c>
      <c r="M101" s="56">
        <f t="shared" si="10"/>
        <v>51232</v>
      </c>
      <c r="N101" s="70">
        <f t="shared" si="10"/>
        <v>51232</v>
      </c>
      <c r="O101" s="58">
        <v>0</v>
      </c>
      <c r="P101" s="59">
        <v>0</v>
      </c>
      <c r="R101" s="95">
        <f>L102+L104-L101</f>
        <v>0</v>
      </c>
    </row>
    <row r="102" spans="1:18" ht="27.7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</f>
        <v>52550</v>
      </c>
      <c r="F102" s="192">
        <f>0+E102</f>
        <v>52550</v>
      </c>
      <c r="G102" s="74">
        <f>G106+G107+G108+G109+G110+G111+G112+G113+G114+G115+G116+G117+G118+G119+G126+G127+G128+G129+G130+G131+G120+G132</f>
        <v>1318</v>
      </c>
      <c r="H102" s="74"/>
      <c r="I102" s="33"/>
      <c r="J102" s="33"/>
      <c r="K102" s="94">
        <f>G102</f>
        <v>1318</v>
      </c>
      <c r="L102" s="33">
        <f>0+K102</f>
        <v>1318</v>
      </c>
      <c r="M102" s="34">
        <f t="shared" si="10"/>
        <v>51232</v>
      </c>
      <c r="N102" s="35">
        <f t="shared" si="10"/>
        <v>51232</v>
      </c>
      <c r="O102" s="64">
        <v>0</v>
      </c>
      <c r="P102" s="65">
        <v>0</v>
      </c>
      <c r="R102" s="95"/>
    </row>
    <row r="103" spans="1:18" ht="21.75" customHeight="1" thickBot="1">
      <c r="A103" s="60" t="s">
        <v>150</v>
      </c>
      <c r="B103" s="351" t="s">
        <v>51</v>
      </c>
      <c r="C103" s="352"/>
      <c r="D103" s="353"/>
      <c r="E103" s="61">
        <f>E129</f>
        <v>0</v>
      </c>
      <c r="F103" s="31">
        <f t="shared" si="13"/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10"/>
        <v>0</v>
      </c>
      <c r="N103" s="35">
        <f t="shared" si="10"/>
        <v>0</v>
      </c>
      <c r="O103" s="64">
        <v>0</v>
      </c>
      <c r="P103" s="65">
        <v>0</v>
      </c>
      <c r="R103" s="96"/>
    </row>
    <row r="104" spans="1:16" ht="27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4" ref="M104:N120">E104-K104</f>
        <v>0</v>
      </c>
      <c r="N104" s="35">
        <f t="shared" si="14"/>
        <v>0</v>
      </c>
      <c r="O104" s="64">
        <v>0</v>
      </c>
      <c r="P104" s="65">
        <v>0</v>
      </c>
    </row>
    <row r="105" spans="1:18" ht="21" customHeight="1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4"/>
        <v>0</v>
      </c>
      <c r="N105" s="35">
        <f t="shared" si="14"/>
        <v>0</v>
      </c>
      <c r="O105" s="64">
        <v>0</v>
      </c>
      <c r="P105" s="65">
        <v>0</v>
      </c>
      <c r="R105" s="95">
        <f>L106+L113+L114+L118+L119+L131</f>
        <v>0</v>
      </c>
    </row>
    <row r="106" spans="1:16" ht="30.75" customHeight="1" thickBot="1">
      <c r="A106" s="60" t="s">
        <v>153</v>
      </c>
      <c r="B106" s="311" t="s">
        <v>154</v>
      </c>
      <c r="C106" s="312"/>
      <c r="D106" s="313"/>
      <c r="E106" s="31">
        <v>20000</v>
      </c>
      <c r="F106" s="31">
        <f>0+E106</f>
        <v>20000</v>
      </c>
      <c r="G106" s="74"/>
      <c r="H106" s="74"/>
      <c r="I106" s="74"/>
      <c r="J106" s="74"/>
      <c r="K106" s="94">
        <f aca="true" t="shared" si="15" ref="K106:K120">G106</f>
        <v>0</v>
      </c>
      <c r="L106" s="33">
        <f>0+K106</f>
        <v>0</v>
      </c>
      <c r="M106" s="34">
        <f t="shared" si="14"/>
        <v>20000</v>
      </c>
      <c r="N106" s="35">
        <f t="shared" si="14"/>
        <v>20000</v>
      </c>
      <c r="O106" s="64">
        <v>0</v>
      </c>
      <c r="P106" s="65">
        <v>0</v>
      </c>
    </row>
    <row r="107" spans="1:16" ht="33" customHeight="1" thickBot="1">
      <c r="A107" s="60" t="s">
        <v>155</v>
      </c>
      <c r="B107" s="308" t="s">
        <v>156</v>
      </c>
      <c r="C107" s="309"/>
      <c r="D107" s="310"/>
      <c r="E107" s="31">
        <v>16200</v>
      </c>
      <c r="F107" s="31">
        <f>0+E107</f>
        <v>16200</v>
      </c>
      <c r="G107" s="74"/>
      <c r="H107" s="74"/>
      <c r="I107" s="74"/>
      <c r="J107" s="74"/>
      <c r="K107" s="94">
        <f t="shared" si="15"/>
        <v>0</v>
      </c>
      <c r="L107" s="33">
        <f>0+K107</f>
        <v>0</v>
      </c>
      <c r="M107" s="34">
        <f t="shared" si="14"/>
        <v>16200</v>
      </c>
      <c r="N107" s="35">
        <f t="shared" si="14"/>
        <v>16200</v>
      </c>
      <c r="O107" s="64">
        <v>0</v>
      </c>
      <c r="P107" s="65">
        <v>0</v>
      </c>
    </row>
    <row r="108" spans="1:16" ht="33.75" customHeight="1" thickBot="1">
      <c r="A108" s="60" t="s">
        <v>157</v>
      </c>
      <c r="B108" s="348" t="s">
        <v>158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15"/>
        <v>0</v>
      </c>
      <c r="L108" s="33">
        <f>0+K108</f>
        <v>0</v>
      </c>
      <c r="M108" s="34">
        <f t="shared" si="14"/>
        <v>0</v>
      </c>
      <c r="N108" s="35">
        <f t="shared" si="14"/>
        <v>0</v>
      </c>
      <c r="O108" s="64">
        <v>0</v>
      </c>
      <c r="P108" s="65">
        <v>0</v>
      </c>
    </row>
    <row r="109" spans="1:16" ht="23.25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5"/>
        <v>0</v>
      </c>
      <c r="L109" s="33">
        <f>0+K109</f>
        <v>0</v>
      </c>
      <c r="M109" s="34">
        <f t="shared" si="14"/>
        <v>0</v>
      </c>
      <c r="N109" s="35">
        <f t="shared" si="14"/>
        <v>0</v>
      </c>
      <c r="O109" s="64">
        <v>0</v>
      </c>
      <c r="P109" s="65">
        <v>0</v>
      </c>
    </row>
    <row r="110" spans="1:18" ht="30.7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5"/>
        <v>0</v>
      </c>
      <c r="L110" s="33">
        <f>0+K110</f>
        <v>0</v>
      </c>
      <c r="M110" s="34">
        <f t="shared" si="14"/>
        <v>0</v>
      </c>
      <c r="N110" s="35">
        <f t="shared" si="14"/>
        <v>0</v>
      </c>
      <c r="O110" s="64">
        <v>0</v>
      </c>
      <c r="P110" s="65">
        <v>0</v>
      </c>
      <c r="R110" s="96"/>
    </row>
    <row r="111" spans="1:16" ht="30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15"/>
        <v>0</v>
      </c>
      <c r="L111" s="33">
        <f>0+K111</f>
        <v>0</v>
      </c>
      <c r="M111" s="34">
        <f t="shared" si="14"/>
        <v>0</v>
      </c>
      <c r="N111" s="35">
        <f t="shared" si="14"/>
        <v>0</v>
      </c>
      <c r="O111" s="64">
        <v>0</v>
      </c>
      <c r="P111" s="65">
        <v>0</v>
      </c>
    </row>
    <row r="112" spans="1:16" ht="27.75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5"/>
        <v>0</v>
      </c>
      <c r="L112" s="33">
        <f>0+K112</f>
        <v>0</v>
      </c>
      <c r="M112" s="34">
        <f t="shared" si="14"/>
        <v>0</v>
      </c>
      <c r="N112" s="35">
        <f t="shared" si="14"/>
        <v>0</v>
      </c>
      <c r="O112" s="64">
        <v>0</v>
      </c>
      <c r="P112" s="65">
        <v>0</v>
      </c>
    </row>
    <row r="113" spans="1:16" ht="24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/>
      <c r="H113" s="74"/>
      <c r="I113" s="74"/>
      <c r="J113" s="74"/>
      <c r="K113" s="94">
        <f t="shared" si="15"/>
        <v>0</v>
      </c>
      <c r="L113" s="33">
        <f>0+K113</f>
        <v>0</v>
      </c>
      <c r="M113" s="34">
        <f t="shared" si="14"/>
        <v>0</v>
      </c>
      <c r="N113" s="35">
        <f t="shared" si="14"/>
        <v>0</v>
      </c>
      <c r="O113" s="64">
        <v>0</v>
      </c>
      <c r="P113" s="65">
        <v>0</v>
      </c>
    </row>
    <row r="114" spans="1:16" ht="44.25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0+E114</f>
        <v>3000</v>
      </c>
      <c r="G114" s="74"/>
      <c r="H114" s="74"/>
      <c r="I114" s="74"/>
      <c r="J114" s="74"/>
      <c r="K114" s="94">
        <f t="shared" si="15"/>
        <v>0</v>
      </c>
      <c r="L114" s="33">
        <f>0+K114</f>
        <v>0</v>
      </c>
      <c r="M114" s="34">
        <f t="shared" si="14"/>
        <v>3000</v>
      </c>
      <c r="N114" s="35">
        <f t="shared" si="14"/>
        <v>3000</v>
      </c>
      <c r="O114" s="64">
        <v>0</v>
      </c>
      <c r="P114" s="65">
        <v>0</v>
      </c>
    </row>
    <row r="115" spans="1:16" ht="36" customHeight="1" thickBot="1">
      <c r="A115" s="60" t="s">
        <v>171</v>
      </c>
      <c r="B115" s="308" t="s">
        <v>172</v>
      </c>
      <c r="C115" s="309"/>
      <c r="D115" s="310"/>
      <c r="E115" s="31">
        <v>6000</v>
      </c>
      <c r="F115" s="31">
        <f>0+E115</f>
        <v>6000</v>
      </c>
      <c r="G115" s="74"/>
      <c r="H115" s="74"/>
      <c r="I115" s="74"/>
      <c r="J115" s="74"/>
      <c r="K115" s="94">
        <f t="shared" si="15"/>
        <v>0</v>
      </c>
      <c r="L115" s="33">
        <f>0+K115</f>
        <v>0</v>
      </c>
      <c r="M115" s="34">
        <f t="shared" si="14"/>
        <v>6000</v>
      </c>
      <c r="N115" s="35">
        <f t="shared" si="14"/>
        <v>6000</v>
      </c>
      <c r="O115" s="64">
        <v>0</v>
      </c>
      <c r="P115" s="65">
        <v>0</v>
      </c>
    </row>
    <row r="116" spans="1:16" ht="37.5" customHeight="1" thickBot="1">
      <c r="A116" s="60" t="s">
        <v>173</v>
      </c>
      <c r="B116" s="308" t="s">
        <v>174</v>
      </c>
      <c r="C116" s="309"/>
      <c r="D116" s="310"/>
      <c r="E116" s="31"/>
      <c r="F116" s="31"/>
      <c r="G116" s="74"/>
      <c r="H116" s="74"/>
      <c r="I116" s="74"/>
      <c r="J116" s="74"/>
      <c r="K116" s="94">
        <f t="shared" si="15"/>
        <v>0</v>
      </c>
      <c r="L116" s="33">
        <f>0+K116</f>
        <v>0</v>
      </c>
      <c r="M116" s="34">
        <f t="shared" si="14"/>
        <v>0</v>
      </c>
      <c r="N116" s="35">
        <f t="shared" si="14"/>
        <v>0</v>
      </c>
      <c r="O116" s="64">
        <v>0</v>
      </c>
      <c r="P116" s="65">
        <v>0</v>
      </c>
    </row>
    <row r="117" spans="1:16" ht="44.2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4"/>
        <v>0</v>
      </c>
      <c r="N117" s="35">
        <f t="shared" si="14"/>
        <v>0</v>
      </c>
      <c r="O117" s="64">
        <v>0</v>
      </c>
      <c r="P117" s="65">
        <v>0</v>
      </c>
    </row>
    <row r="118" spans="1:16" ht="35.25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/>
      <c r="H118" s="74"/>
      <c r="I118" s="74"/>
      <c r="J118" s="74"/>
      <c r="K118" s="94">
        <f>G118</f>
        <v>0</v>
      </c>
      <c r="L118" s="33">
        <f>0+K118</f>
        <v>0</v>
      </c>
      <c r="M118" s="34">
        <f t="shared" si="14"/>
        <v>0</v>
      </c>
      <c r="N118" s="35">
        <f t="shared" si="14"/>
        <v>0</v>
      </c>
      <c r="O118" s="64">
        <v>0</v>
      </c>
      <c r="P118" s="65">
        <v>0</v>
      </c>
    </row>
    <row r="119" spans="1:18" ht="33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14"/>
        <v>0</v>
      </c>
      <c r="N119" s="35">
        <f t="shared" si="14"/>
        <v>0</v>
      </c>
      <c r="O119" s="64">
        <v>0</v>
      </c>
      <c r="P119" s="65">
        <v>0</v>
      </c>
      <c r="R119" s="96">
        <f>F131+F129+F128+F119+F115+F114+F113+F107+F106</f>
        <v>45200</v>
      </c>
    </row>
    <row r="120" spans="1:16" ht="26.25" customHeight="1" thickBot="1">
      <c r="A120" s="97" t="s">
        <v>180</v>
      </c>
      <c r="B120" s="308" t="s">
        <v>181</v>
      </c>
      <c r="C120" s="309"/>
      <c r="D120" s="310"/>
      <c r="E120" s="31">
        <v>1400</v>
      </c>
      <c r="F120" s="31">
        <f>0+E120</f>
        <v>1400</v>
      </c>
      <c r="G120" s="74"/>
      <c r="H120" s="74"/>
      <c r="I120" s="74"/>
      <c r="J120" s="74"/>
      <c r="K120" s="94">
        <f t="shared" si="15"/>
        <v>0</v>
      </c>
      <c r="L120" s="33">
        <f>0+K120</f>
        <v>0</v>
      </c>
      <c r="M120" s="34">
        <f t="shared" si="14"/>
        <v>1400</v>
      </c>
      <c r="N120" s="35">
        <f t="shared" si="14"/>
        <v>1400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8.25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77.25" customHeight="1" thickBot="1">
      <c r="A124" s="101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47">
        <v>3</v>
      </c>
      <c r="G125" s="47">
        <v>4</v>
      </c>
      <c r="H125" s="47">
        <v>5</v>
      </c>
      <c r="I125" s="7">
        <v>6</v>
      </c>
      <c r="J125" s="7">
        <v>7</v>
      </c>
      <c r="K125" s="48">
        <v>8</v>
      </c>
      <c r="L125" s="20">
        <v>9</v>
      </c>
      <c r="M125" s="7">
        <v>10</v>
      </c>
      <c r="N125" s="20">
        <v>11</v>
      </c>
      <c r="O125" s="7">
        <v>12</v>
      </c>
      <c r="P125" s="20">
        <v>13</v>
      </c>
    </row>
    <row r="126" spans="1:16" ht="27.75" thickBot="1">
      <c r="A126" s="106" t="s">
        <v>182</v>
      </c>
      <c r="B126" s="319" t="s">
        <v>183</v>
      </c>
      <c r="C126" s="320"/>
      <c r="D126" s="321"/>
      <c r="E126" s="31"/>
      <c r="F126" s="31"/>
      <c r="G126" s="74"/>
      <c r="H126" s="74"/>
      <c r="I126" s="74"/>
      <c r="J126" s="74"/>
      <c r="K126" s="94">
        <f aca="true" t="shared" si="16" ref="K126:K141">G126</f>
        <v>0</v>
      </c>
      <c r="L126" s="33">
        <f>0+K126</f>
        <v>0</v>
      </c>
      <c r="M126" s="34">
        <f aca="true" t="shared" si="17" ref="M126:N142">E126-K126</f>
        <v>0</v>
      </c>
      <c r="N126" s="35">
        <f t="shared" si="17"/>
        <v>0</v>
      </c>
      <c r="O126" s="64">
        <v>0</v>
      </c>
      <c r="P126" s="65">
        <v>0</v>
      </c>
    </row>
    <row r="127" spans="1:16" ht="27.75" thickBot="1">
      <c r="A127" s="107" t="s">
        <v>184</v>
      </c>
      <c r="B127" s="322" t="s">
        <v>185</v>
      </c>
      <c r="C127" s="323"/>
      <c r="D127" s="324"/>
      <c r="E127" s="31"/>
      <c r="F127" s="31"/>
      <c r="G127" s="74"/>
      <c r="H127" s="74"/>
      <c r="I127" s="74"/>
      <c r="J127" s="74"/>
      <c r="K127" s="94">
        <f t="shared" si="16"/>
        <v>0</v>
      </c>
      <c r="L127" s="33">
        <f>0+K127</f>
        <v>0</v>
      </c>
      <c r="M127" s="34">
        <f t="shared" si="17"/>
        <v>0</v>
      </c>
      <c r="N127" s="35">
        <f t="shared" si="17"/>
        <v>0</v>
      </c>
      <c r="O127" s="64">
        <v>0</v>
      </c>
      <c r="P127" s="65">
        <v>0</v>
      </c>
    </row>
    <row r="128" spans="1:16" ht="30.75" thickBot="1">
      <c r="A128" s="108" t="s">
        <v>186</v>
      </c>
      <c r="B128" s="308" t="s">
        <v>187</v>
      </c>
      <c r="C128" s="309"/>
      <c r="D128" s="310"/>
      <c r="E128" s="31"/>
      <c r="F128" s="31">
        <f>0+E128</f>
        <v>0</v>
      </c>
      <c r="G128" s="74"/>
      <c r="H128" s="74"/>
      <c r="I128" s="74"/>
      <c r="J128" s="74"/>
      <c r="K128" s="94">
        <f>I128+G128</f>
        <v>0</v>
      </c>
      <c r="L128" s="33">
        <f>0+K128</f>
        <v>0</v>
      </c>
      <c r="M128" s="34">
        <f t="shared" si="17"/>
        <v>0</v>
      </c>
      <c r="N128" s="35">
        <f t="shared" si="17"/>
        <v>0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7"/>
        <v>0</v>
      </c>
      <c r="N129" s="35">
        <f t="shared" si="17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308" t="s">
        <v>191</v>
      </c>
      <c r="C130" s="309"/>
      <c r="D130" s="310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7"/>
        <v>0</v>
      </c>
      <c r="N130" s="35">
        <f t="shared" si="17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311" t="s">
        <v>193</v>
      </c>
      <c r="C131" s="312"/>
      <c r="D131" s="313"/>
      <c r="E131" s="31"/>
      <c r="F131" s="31">
        <f>0+E131</f>
        <v>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7"/>
        <v>0</v>
      </c>
      <c r="N131" s="35">
        <f t="shared" si="17"/>
        <v>0</v>
      </c>
      <c r="O131" s="64">
        <v>0</v>
      </c>
      <c r="P131" s="65">
        <v>0</v>
      </c>
    </row>
    <row r="132" spans="1:16" ht="41.25" customHeight="1" thickBot="1">
      <c r="A132" s="109" t="s">
        <v>213</v>
      </c>
      <c r="B132" s="311" t="s">
        <v>214</v>
      </c>
      <c r="C132" s="312"/>
      <c r="D132" s="313"/>
      <c r="E132" s="31">
        <v>5950</v>
      </c>
      <c r="F132" s="31"/>
      <c r="G132" s="74">
        <v>1318</v>
      </c>
      <c r="H132" s="74"/>
      <c r="I132" s="74"/>
      <c r="J132" s="74"/>
      <c r="K132" s="94">
        <f>G132+I132</f>
        <v>1318</v>
      </c>
      <c r="L132" s="33">
        <f>0+K132</f>
        <v>1318</v>
      </c>
      <c r="M132" s="34">
        <f>E132-K132</f>
        <v>4632</v>
      </c>
      <c r="N132" s="35">
        <f>F132-L132</f>
        <v>-1318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0</v>
      </c>
      <c r="F133" s="73">
        <f>F134</f>
        <v>0</v>
      </c>
      <c r="G133" s="75">
        <f>G134+G135</f>
        <v>600</v>
      </c>
      <c r="H133" s="74"/>
      <c r="I133" s="74"/>
      <c r="J133" s="74"/>
      <c r="K133" s="93">
        <f t="shared" si="16"/>
        <v>600</v>
      </c>
      <c r="L133" s="55">
        <f>L134+L135</f>
        <v>600</v>
      </c>
      <c r="M133" s="56">
        <f t="shared" si="17"/>
        <v>-600</v>
      </c>
      <c r="N133" s="70">
        <f t="shared" si="17"/>
        <v>-600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61"/>
      <c r="F134" s="31">
        <f>0+E134</f>
        <v>0</v>
      </c>
      <c r="G134" s="74">
        <v>600</v>
      </c>
      <c r="H134" s="74"/>
      <c r="I134" s="74"/>
      <c r="J134" s="74"/>
      <c r="K134" s="94">
        <f t="shared" si="16"/>
        <v>600</v>
      </c>
      <c r="L134" s="33">
        <f>0+K134</f>
        <v>600</v>
      </c>
      <c r="M134" s="34">
        <f t="shared" si="17"/>
        <v>-600</v>
      </c>
      <c r="N134" s="35">
        <f t="shared" si="17"/>
        <v>-600</v>
      </c>
      <c r="O134" s="64">
        <v>0</v>
      </c>
      <c r="P134" s="65">
        <v>0</v>
      </c>
      <c r="Q134" s="1"/>
      <c r="R134" s="1"/>
      <c r="S134" s="1"/>
    </row>
    <row r="135" spans="1:19" ht="32.2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6"/>
        <v>0</v>
      </c>
      <c r="L135" s="33">
        <f>0+K135</f>
        <v>0</v>
      </c>
      <c r="M135" s="34">
        <f t="shared" si="17"/>
        <v>0</v>
      </c>
      <c r="N135" s="35">
        <f t="shared" si="17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16"/>
        <v>0</v>
      </c>
      <c r="L136" s="55">
        <f>0+K136</f>
        <v>0</v>
      </c>
      <c r="M136" s="56">
        <f t="shared" si="17"/>
        <v>0</v>
      </c>
      <c r="N136" s="70">
        <f t="shared" si="17"/>
        <v>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16"/>
        <v>0</v>
      </c>
      <c r="L137" s="33">
        <f>0+K137</f>
        <v>0</v>
      </c>
      <c r="M137" s="34">
        <f t="shared" si="17"/>
        <v>0</v>
      </c>
      <c r="N137" s="35">
        <f t="shared" si="17"/>
        <v>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6"/>
        <v>0</v>
      </c>
      <c r="L138" s="33">
        <f>0+K138</f>
        <v>0</v>
      </c>
      <c r="M138" s="34">
        <f t="shared" si="17"/>
        <v>0</v>
      </c>
      <c r="N138" s="35">
        <f t="shared" si="17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/>
      <c r="G139" s="75">
        <f>G140+G141</f>
        <v>0</v>
      </c>
      <c r="H139" s="75"/>
      <c r="I139" s="75"/>
      <c r="J139" s="75"/>
      <c r="K139" s="93">
        <f t="shared" si="16"/>
        <v>0</v>
      </c>
      <c r="L139" s="55">
        <f>L140</f>
        <v>0</v>
      </c>
      <c r="M139" s="56">
        <f t="shared" si="17"/>
        <v>0</v>
      </c>
      <c r="N139" s="70">
        <f t="shared" si="17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/>
      <c r="G140" s="74"/>
      <c r="H140" s="74"/>
      <c r="I140" s="74"/>
      <c r="J140" s="74"/>
      <c r="K140" s="94">
        <f t="shared" si="16"/>
        <v>0</v>
      </c>
      <c r="L140" s="33">
        <f>0+K140</f>
        <v>0</v>
      </c>
      <c r="M140" s="34">
        <f t="shared" si="17"/>
        <v>0</v>
      </c>
      <c r="N140" s="35">
        <f t="shared" si="17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6"/>
        <v>0</v>
      </c>
      <c r="L141" s="33">
        <f>0+K141</f>
        <v>0</v>
      </c>
      <c r="M141" s="34">
        <f t="shared" si="17"/>
        <v>0</v>
      </c>
      <c r="N141" s="35">
        <f t="shared" si="17"/>
        <v>0</v>
      </c>
      <c r="O141" s="64">
        <v>0</v>
      </c>
      <c r="P141" s="65">
        <v>0</v>
      </c>
      <c r="Q141" s="1"/>
      <c r="R141" s="1"/>
      <c r="S141" s="1"/>
    </row>
    <row r="142" spans="1:19" ht="22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/>
      <c r="K142" s="93">
        <f>J142</f>
        <v>0</v>
      </c>
      <c r="L142" s="55">
        <f>0+K142</f>
        <v>0</v>
      </c>
      <c r="M142" s="56">
        <f t="shared" si="17"/>
        <v>0</v>
      </c>
      <c r="N142" s="70">
        <f t="shared" si="17"/>
        <v>0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114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116"/>
      <c r="P143" s="117"/>
      <c r="Q143" s="1"/>
      <c r="R143" s="1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14">
        <v>0</v>
      </c>
      <c r="N144" s="14">
        <v>0</v>
      </c>
      <c r="O144" s="4"/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49005.929999999964</v>
      </c>
      <c r="H145" s="4">
        <f>G18+H10-H29</f>
        <v>0</v>
      </c>
      <c r="I145" s="299">
        <f>I10+G19-I104-I66-I97-I76</f>
        <v>0</v>
      </c>
      <c r="J145" s="300"/>
      <c r="K145" s="120">
        <f>O10+G22-J54</f>
        <v>6072.84</v>
      </c>
      <c r="L145" s="4">
        <f>L10+G23-J142</f>
        <v>307176.16</v>
      </c>
      <c r="M145" s="14">
        <v>0</v>
      </c>
      <c r="N145" s="4">
        <f>N10+G21-J33-J37-J97</f>
        <v>53.24</v>
      </c>
      <c r="O145" s="121"/>
      <c r="P145" s="4">
        <f>SUM(G145:O145)</f>
        <v>362308.1699999999</v>
      </c>
      <c r="Q145" s="1"/>
      <c r="R145" s="80">
        <f>P5+L16-L29</f>
        <v>362308.17000000004</v>
      </c>
      <c r="S145" s="37"/>
    </row>
    <row r="146" spans="1:19" ht="24.75" customHeight="1" thickBot="1">
      <c r="A146" s="122"/>
      <c r="B146" s="288" t="s">
        <v>215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362308.1699999999</v>
      </c>
      <c r="Q146" s="1"/>
      <c r="R146" s="37"/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129"/>
      <c r="C150" s="129"/>
      <c r="D150" s="129"/>
      <c r="E150" s="129"/>
      <c r="F150" s="129"/>
      <c r="G150" s="129"/>
      <c r="H150" s="129"/>
      <c r="I150" s="129"/>
      <c r="J150" s="130"/>
      <c r="K150" s="131"/>
      <c r="L150" s="130"/>
      <c r="M150" s="129"/>
      <c r="N150" s="129"/>
      <c r="O150" s="129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1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37:D137"/>
    <mergeCell ref="B138:D138"/>
    <mergeCell ref="B139:D139"/>
    <mergeCell ref="B140:D140"/>
    <mergeCell ref="B141:D141"/>
    <mergeCell ref="B142:D142"/>
    <mergeCell ref="B130:D130"/>
    <mergeCell ref="B131:D131"/>
    <mergeCell ref="B133:D133"/>
    <mergeCell ref="B134:D134"/>
    <mergeCell ref="B135:D135"/>
    <mergeCell ref="B136:D136"/>
    <mergeCell ref="B132:D132"/>
    <mergeCell ref="B146:E146"/>
    <mergeCell ref="F146:O146"/>
    <mergeCell ref="B148:E148"/>
    <mergeCell ref="F148:N148"/>
    <mergeCell ref="O148:P148"/>
    <mergeCell ref="B149:E149"/>
    <mergeCell ref="F149:N149"/>
    <mergeCell ref="O149:P149"/>
    <mergeCell ref="B143:E143"/>
    <mergeCell ref="I143:J143"/>
    <mergeCell ref="B144:E144"/>
    <mergeCell ref="I144:J144"/>
    <mergeCell ref="B145:E145"/>
    <mergeCell ref="I145:J145"/>
  </mergeCells>
  <printOptions/>
  <pageMargins left="0.03937007874015748" right="0" top="0" bottom="0" header="0.31496062992125984" footer="0.3937007874015748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" sqref="A1:IV65536"/>
    </sheetView>
  </sheetViews>
  <sheetFormatPr defaultColWidth="9.140625" defaultRowHeight="15"/>
  <cols>
    <col min="1" max="16384" width="9.140625" style="2" customWidth="1"/>
  </cols>
  <sheetData/>
  <sheetProtection/>
  <printOptions/>
  <pageMargins left="0" right="0" top="0" bottom="0" header="0" footer="0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14" sqref="H14"/>
    </sheetView>
  </sheetViews>
  <sheetFormatPr defaultColWidth="9.140625" defaultRowHeight="15"/>
  <cols>
    <col min="1" max="16384" width="9.140625" style="2" customWidth="1"/>
  </cols>
  <sheetData/>
  <sheetProtection/>
  <printOptions/>
  <pageMargins left="0" right="0" top="0" bottom="0" header="0" footer="0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P18" sqref="P18"/>
    </sheetView>
  </sheetViews>
  <sheetFormatPr defaultColWidth="9.140625" defaultRowHeight="15"/>
  <cols>
    <col min="1" max="16384" width="9.140625" style="2" customWidth="1"/>
  </cols>
  <sheetData/>
  <sheetProtection/>
  <printOptions/>
  <pageMargins left="0.03937007874015748" right="0.03937007874015748" top="0.07874015748031496" bottom="0.07874015748031496" header="0.11811023622047245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94">
      <selection activeCell="G97" sqref="G97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421875" style="2" customWidth="1"/>
    <col min="5" max="5" width="12.7109375" style="2" customWidth="1"/>
    <col min="6" max="6" width="13.00390625" style="2" customWidth="1"/>
    <col min="7" max="7" width="12.7109375" style="2" customWidth="1"/>
    <col min="8" max="8" width="11.140625" style="2" customWidth="1"/>
    <col min="9" max="9" width="10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1.8515625" style="2" customWidth="1"/>
    <col min="14" max="14" width="12.7109375" style="2" customWidth="1"/>
    <col min="15" max="15" width="7.7109375" style="2" customWidth="1"/>
    <col min="16" max="16" width="9.42187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>
      <c r="A2" s="1"/>
      <c r="B2" s="458" t="s">
        <v>216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15.75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19.5" customHeight="1" thickBot="1">
      <c r="A6" s="3"/>
      <c r="B6" s="451" t="s">
        <v>217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138">
        <f>P10</f>
        <v>362308.17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thickBot="1">
      <c r="A8" s="6"/>
      <c r="B8" s="451" t="s">
        <v>3</v>
      </c>
      <c r="C8" s="288"/>
      <c r="D8" s="288"/>
      <c r="E8" s="289"/>
      <c r="F8" s="296" t="s">
        <v>4</v>
      </c>
      <c r="G8" s="297"/>
      <c r="H8" s="7" t="s">
        <v>5</v>
      </c>
      <c r="I8" s="296" t="s">
        <v>6</v>
      </c>
      <c r="J8" s="297"/>
      <c r="K8" s="8" t="s">
        <v>7</v>
      </c>
      <c r="L8" s="7" t="s">
        <v>8</v>
      </c>
      <c r="M8" s="135" t="s">
        <v>9</v>
      </c>
      <c r="N8" s="141" t="s">
        <v>10</v>
      </c>
      <c r="O8" s="11" t="s">
        <v>11</v>
      </c>
      <c r="P8" s="12"/>
    </row>
    <row r="9" spans="1:16" ht="23.25" customHeight="1" thickBot="1">
      <c r="A9" s="3"/>
      <c r="B9" s="448" t="s">
        <v>12</v>
      </c>
      <c r="C9" s="449"/>
      <c r="D9" s="449"/>
      <c r="E9" s="450"/>
      <c r="F9" s="299">
        <v>0</v>
      </c>
      <c r="G9" s="300"/>
      <c r="H9" s="4">
        <v>0</v>
      </c>
      <c r="I9" s="299">
        <v>0</v>
      </c>
      <c r="J9" s="300"/>
      <c r="K9" s="13">
        <v>0</v>
      </c>
      <c r="L9" s="4">
        <v>0</v>
      </c>
      <c r="M9" s="137">
        <v>0</v>
      </c>
      <c r="N9" s="4">
        <v>0</v>
      </c>
      <c r="O9" s="15">
        <v>0</v>
      </c>
      <c r="P9" s="138">
        <v>0</v>
      </c>
    </row>
    <row r="10" spans="1:16" ht="24.75" customHeight="1" thickBot="1">
      <c r="A10" s="3"/>
      <c r="B10" s="448" t="s">
        <v>13</v>
      </c>
      <c r="C10" s="449"/>
      <c r="D10" s="449"/>
      <c r="E10" s="450"/>
      <c r="F10" s="299">
        <v>49005.93</v>
      </c>
      <c r="G10" s="300"/>
      <c r="H10" s="4">
        <v>0</v>
      </c>
      <c r="I10" s="299">
        <v>0</v>
      </c>
      <c r="J10" s="300"/>
      <c r="K10" s="13">
        <v>0</v>
      </c>
      <c r="L10" s="4">
        <v>307176.16</v>
      </c>
      <c r="M10" s="137">
        <v>0</v>
      </c>
      <c r="N10" s="4">
        <v>53.24</v>
      </c>
      <c r="O10" s="4">
        <v>6072.84</v>
      </c>
      <c r="P10" s="138">
        <f>SUM(F10:O10)</f>
        <v>362308.17</v>
      </c>
    </row>
    <row r="11" spans="1:16" ht="15.75" thickBot="1">
      <c r="A11" s="145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44.25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7.25" customHeight="1" thickBot="1">
      <c r="A14" s="3"/>
      <c r="B14" s="316" t="s">
        <v>21</v>
      </c>
      <c r="C14" s="317"/>
      <c r="D14" s="318"/>
      <c r="E14" s="17" t="s">
        <v>22</v>
      </c>
      <c r="F14" s="142">
        <v>3</v>
      </c>
      <c r="G14" s="403">
        <v>4</v>
      </c>
      <c r="H14" s="404"/>
      <c r="I14" s="404"/>
      <c r="J14" s="405"/>
      <c r="K14" s="19">
        <v>5</v>
      </c>
      <c r="L14" s="140">
        <v>6</v>
      </c>
      <c r="M14" s="7">
        <v>7</v>
      </c>
      <c r="N14" s="140">
        <v>8</v>
      </c>
      <c r="O14" s="140">
        <v>9</v>
      </c>
      <c r="P14" s="7">
        <v>10</v>
      </c>
    </row>
    <row r="15" spans="1:16" ht="35.25" customHeight="1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8.5" customHeight="1" thickBot="1">
      <c r="A16" s="413"/>
      <c r="B16" s="431"/>
      <c r="C16" s="432"/>
      <c r="D16" s="433"/>
      <c r="E16" s="26">
        <f>SUM(E17:E23)</f>
        <v>1784247</v>
      </c>
      <c r="F16" s="27">
        <f>SUM(F17:F23)</f>
        <v>3612844</v>
      </c>
      <c r="G16" s="437">
        <f>G17+G18+G19+G20+G21+G22+G23</f>
        <v>1583403.7999999998</v>
      </c>
      <c r="H16" s="438"/>
      <c r="I16" s="438"/>
      <c r="J16" s="439"/>
      <c r="K16" s="147">
        <f>SUM(K17:K23)</f>
        <v>1583403.7999999998</v>
      </c>
      <c r="L16" s="147">
        <f>SUM(L17:L23)</f>
        <v>2201799.5399999996</v>
      </c>
      <c r="M16" s="147">
        <f>SUM(M17:M23)</f>
        <v>200843.20000000007</v>
      </c>
      <c r="N16" s="147">
        <f>SUM(N17:N23)</f>
        <v>1411044.4600000002</v>
      </c>
      <c r="O16" s="29">
        <v>0</v>
      </c>
      <c r="P16" s="29">
        <v>0</v>
      </c>
    </row>
    <row r="17" spans="1:18" ht="49.5" customHeight="1" thickBot="1">
      <c r="A17" s="30" t="s">
        <v>29</v>
      </c>
      <c r="B17" s="393" t="s">
        <v>30</v>
      </c>
      <c r="C17" s="394"/>
      <c r="D17" s="395"/>
      <c r="E17" s="154">
        <v>1011564</v>
      </c>
      <c r="F17" s="31">
        <f>1057014+E17</f>
        <v>2068578</v>
      </c>
      <c r="G17" s="409">
        <v>578237.82</v>
      </c>
      <c r="H17" s="410"/>
      <c r="I17" s="410"/>
      <c r="J17" s="411"/>
      <c r="K17" s="144">
        <f>G17</f>
        <v>578237.82</v>
      </c>
      <c r="L17" s="33">
        <f>505807.73+K17</f>
        <v>1084045.5499999998</v>
      </c>
      <c r="M17" s="34">
        <f>E17-K17</f>
        <v>433326.18000000005</v>
      </c>
      <c r="N17" s="35">
        <f>F17-L17</f>
        <v>984532.4500000002</v>
      </c>
      <c r="O17" s="36">
        <v>0</v>
      </c>
      <c r="P17" s="36">
        <v>0</v>
      </c>
      <c r="Q17" s="1"/>
      <c r="R17" s="37">
        <v>365352.1499999948</v>
      </c>
    </row>
    <row r="18" spans="1:18" ht="39" customHeight="1" thickBot="1">
      <c r="A18" s="38" t="s">
        <v>31</v>
      </c>
      <c r="B18" s="422" t="s">
        <v>32</v>
      </c>
      <c r="C18" s="423"/>
      <c r="D18" s="424"/>
      <c r="E18" s="148">
        <v>430483</v>
      </c>
      <c r="F18" s="31">
        <f>430483+E18</f>
        <v>860966</v>
      </c>
      <c r="G18" s="409">
        <v>823500</v>
      </c>
      <c r="H18" s="410"/>
      <c r="I18" s="410"/>
      <c r="J18" s="411"/>
      <c r="K18" s="144">
        <f>G18</f>
        <v>823500</v>
      </c>
      <c r="L18" s="33">
        <f>0+K18</f>
        <v>823500</v>
      </c>
      <c r="M18" s="34">
        <f>E18-K18</f>
        <v>-393017</v>
      </c>
      <c r="N18" s="35">
        <f>F18-L18</f>
        <v>37466</v>
      </c>
      <c r="O18" s="36">
        <v>0</v>
      </c>
      <c r="P18" s="36">
        <v>0</v>
      </c>
      <c r="Q18" s="1"/>
      <c r="R18" s="1"/>
    </row>
    <row r="19" spans="1:18" ht="37.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>
        <v>24800</v>
      </c>
      <c r="H19" s="410"/>
      <c r="I19" s="410"/>
      <c r="J19" s="411"/>
      <c r="K19" s="144">
        <f>G19</f>
        <v>24800</v>
      </c>
      <c r="L19" s="33">
        <f>0+K19</f>
        <v>24800</v>
      </c>
      <c r="M19" s="34">
        <f aca="true" t="shared" si="0" ref="M19:N23">E19-K19</f>
        <v>-24800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48.75" customHeight="1" thickBot="1">
      <c r="A20" s="41" t="s">
        <v>35</v>
      </c>
      <c r="B20" s="416" t="s">
        <v>36</v>
      </c>
      <c r="C20" s="417"/>
      <c r="D20" s="418"/>
      <c r="E20" s="42">
        <v>342200</v>
      </c>
      <c r="F20" s="31">
        <f>341100+E20</f>
        <v>683300</v>
      </c>
      <c r="G20" s="409"/>
      <c r="H20" s="410"/>
      <c r="I20" s="410"/>
      <c r="J20" s="411"/>
      <c r="K20" s="144">
        <f>G20</f>
        <v>0</v>
      </c>
      <c r="L20" s="33">
        <f>0+K20</f>
        <v>0</v>
      </c>
      <c r="M20" s="34">
        <f t="shared" si="0"/>
        <v>342200</v>
      </c>
      <c r="N20" s="35">
        <f t="shared" si="0"/>
        <v>683300</v>
      </c>
      <c r="O20" s="36">
        <v>0</v>
      </c>
      <c r="P20" s="36">
        <v>0</v>
      </c>
      <c r="Q20" s="37"/>
      <c r="R20" s="37"/>
    </row>
    <row r="21" spans="1:18" ht="33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>
        <v>16250</v>
      </c>
      <c r="H21" s="410"/>
      <c r="I21" s="410"/>
      <c r="J21" s="411"/>
      <c r="K21" s="144">
        <f>G21</f>
        <v>16250</v>
      </c>
      <c r="L21" s="33">
        <f>0+K21</f>
        <v>16250</v>
      </c>
      <c r="M21" s="34">
        <f t="shared" si="0"/>
        <v>-16250</v>
      </c>
      <c r="N21" s="35">
        <f t="shared" si="0"/>
        <v>-16250</v>
      </c>
      <c r="O21" s="36">
        <v>0</v>
      </c>
      <c r="P21" s="36">
        <v>0</v>
      </c>
      <c r="Q21" s="37"/>
      <c r="R21" s="1"/>
    </row>
    <row r="22" spans="1:18" ht="33.7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>
        <v>6525.66</v>
      </c>
      <c r="H22" s="410"/>
      <c r="I22" s="410"/>
      <c r="J22" s="411"/>
      <c r="K22" s="144">
        <f>G22</f>
        <v>6525.66</v>
      </c>
      <c r="L22" s="33">
        <f>810+K22</f>
        <v>7335.66</v>
      </c>
      <c r="M22" s="34">
        <f>E22-K22</f>
        <v>-6525.66</v>
      </c>
      <c r="N22" s="35">
        <f t="shared" si="0"/>
        <v>-7335.66</v>
      </c>
      <c r="O22" s="36">
        <v>0</v>
      </c>
      <c r="P22" s="36">
        <v>0</v>
      </c>
      <c r="Q22" s="1"/>
      <c r="R22" s="1"/>
    </row>
    <row r="23" spans="1:18" ht="32.2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134090.32</v>
      </c>
      <c r="H23" s="410"/>
      <c r="I23" s="410"/>
      <c r="J23" s="411"/>
      <c r="K23" s="144">
        <f>G23</f>
        <v>134090.32</v>
      </c>
      <c r="L23" s="33">
        <f>111778.01+K23</f>
        <v>245868.33000000002</v>
      </c>
      <c r="M23" s="34">
        <f t="shared" si="0"/>
        <v>-134090.32</v>
      </c>
      <c r="N23" s="35">
        <f t="shared" si="0"/>
        <v>-245868.33000000002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5.2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87" customHeight="1" thickBot="1">
      <c r="A27" s="413"/>
      <c r="B27" s="371"/>
      <c r="C27" s="372"/>
      <c r="D27" s="373"/>
      <c r="E27" s="375"/>
      <c r="F27" s="377"/>
      <c r="G27" s="143" t="s">
        <v>45</v>
      </c>
      <c r="H27" s="143" t="s">
        <v>46</v>
      </c>
      <c r="I27" s="143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143">
        <v>3</v>
      </c>
      <c r="G28" s="143">
        <v>4</v>
      </c>
      <c r="H28" s="143">
        <v>5</v>
      </c>
      <c r="I28" s="7">
        <v>6</v>
      </c>
      <c r="J28" s="7">
        <v>7</v>
      </c>
      <c r="K28" s="48">
        <v>8</v>
      </c>
      <c r="L28" s="140">
        <v>9</v>
      </c>
      <c r="M28" s="7">
        <v>10</v>
      </c>
      <c r="N28" s="140">
        <v>11</v>
      </c>
      <c r="O28" s="7">
        <v>12</v>
      </c>
      <c r="P28" s="140">
        <v>13</v>
      </c>
      <c r="Q28" s="1"/>
      <c r="R28" s="1"/>
    </row>
    <row r="29" spans="1:18" ht="19.5" customHeight="1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1784247</v>
      </c>
      <c r="F29" s="49">
        <f>F30+F34+F38+F44+F51+F54+F64+F67+F71+F74+F78+F80+F88+F101+F133+F136+F139+F142</f>
        <v>3612844</v>
      </c>
      <c r="G29" s="49">
        <f>G30+G34+G38+G44+G51+G54+G64+G67+G71+G74+G78+G80+G88+G101+G133+G136+G139+G142</f>
        <v>641650.07</v>
      </c>
      <c r="H29" s="49">
        <f>H30+H34+H38+H44+H51+H54+H64+H67+H71+H74+H78+H80+H88+H101+H133+H136+H139+H142</f>
        <v>540400</v>
      </c>
      <c r="I29" s="49">
        <f>I30+I34+I38+I44+I51+I54+I64+I67+I71+I74+I78+I80+I88+I101+I133+I136+I139+I142</f>
        <v>24789.4</v>
      </c>
      <c r="J29" s="49">
        <f>J30+J34+J38+J44+J51+J54+J64+J67+J71+J74+J78+J80+J88+J101+J133+J136+J139+J142</f>
        <v>170905.72</v>
      </c>
      <c r="K29" s="49">
        <f>K30+K34+K38+K44+K51+K54+K64+K67+K71+K74+K78+K80+K88+K101+K133+K136+K139+K142</f>
        <v>1377745.19</v>
      </c>
      <c r="L29" s="49">
        <f>L30+L34+L38+L44+L51+L54+L64+L67+L71+L74+L78+L80+L88+L101+L133+L136+L139+L142</f>
        <v>1880257.1800000002</v>
      </c>
      <c r="M29" s="49">
        <f>M30+M34+M38+M44+M51+M54+M64+M67+M71+M74+M78+M80+M88+M101+M133+M136+M139+M142</f>
        <v>406501.80999999994</v>
      </c>
      <c r="N29" s="49">
        <f>N30+N34+N38+N44+N51+N54+N64+N67+N71+N74+N78+N80+N88+N101+N133+N136+N139+N142</f>
        <v>1732586.8199999998</v>
      </c>
      <c r="O29" s="50">
        <v>0</v>
      </c>
      <c r="P29" s="50">
        <v>0</v>
      </c>
      <c r="Q29" s="1"/>
      <c r="R29" s="37"/>
    </row>
    <row r="30" spans="1:18" ht="23.25" customHeight="1" thickBot="1">
      <c r="A30" s="51" t="s">
        <v>21</v>
      </c>
      <c r="B30" s="402" t="s">
        <v>49</v>
      </c>
      <c r="C30" s="304"/>
      <c r="D30" s="305"/>
      <c r="E30" s="52">
        <f>SUM(E31:E32)</f>
        <v>694801</v>
      </c>
      <c r="F30" s="53">
        <f>F31+F32+F33</f>
        <v>1389602</v>
      </c>
      <c r="G30" s="54">
        <f>G31+G32+G33</f>
        <v>219019.57</v>
      </c>
      <c r="H30" s="54">
        <f>H31</f>
        <v>480640</v>
      </c>
      <c r="I30" s="54"/>
      <c r="J30" s="54">
        <f>J33</f>
        <v>12540</v>
      </c>
      <c r="K30" s="53">
        <f>G30+H30+J30</f>
        <v>712199.5700000001</v>
      </c>
      <c r="L30" s="55">
        <f>L31+L32+L33</f>
        <v>890999.5700000001</v>
      </c>
      <c r="M30" s="56">
        <f>E30-K30</f>
        <v>-17398.570000000065</v>
      </c>
      <c r="N30" s="70">
        <f>F30-L30</f>
        <v>498602.42999999993</v>
      </c>
      <c r="O30" s="58">
        <v>0</v>
      </c>
      <c r="P30" s="59">
        <v>0</v>
      </c>
      <c r="Q30" s="37"/>
      <c r="R30" s="37"/>
    </row>
    <row r="31" spans="1:18" ht="15.75" thickBot="1">
      <c r="A31" s="60" t="s">
        <v>50</v>
      </c>
      <c r="B31" s="388" t="s">
        <v>51</v>
      </c>
      <c r="C31" s="389"/>
      <c r="D31" s="390"/>
      <c r="E31" s="150">
        <v>358139</v>
      </c>
      <c r="F31" s="31">
        <f>358139+E31</f>
        <v>716278</v>
      </c>
      <c r="G31" s="62"/>
      <c r="H31" s="62">
        <v>480640</v>
      </c>
      <c r="I31" s="62"/>
      <c r="J31" s="62"/>
      <c r="K31" s="45">
        <f>H31</f>
        <v>480640</v>
      </c>
      <c r="L31" s="33">
        <f>0+K31</f>
        <v>480640</v>
      </c>
      <c r="M31" s="34">
        <f>E31-K31</f>
        <v>-122501</v>
      </c>
      <c r="N31" s="63">
        <f>F31-L31</f>
        <v>235638</v>
      </c>
      <c r="O31" s="64">
        <v>0</v>
      </c>
      <c r="P31" s="65">
        <v>0</v>
      </c>
      <c r="Q31" s="37"/>
      <c r="R31" s="37"/>
    </row>
    <row r="32" spans="1:18" ht="15.75" thickBot="1">
      <c r="A32" s="60" t="s">
        <v>52</v>
      </c>
      <c r="B32" s="301" t="s">
        <v>53</v>
      </c>
      <c r="C32" s="302"/>
      <c r="D32" s="303"/>
      <c r="E32" s="150">
        <v>336662</v>
      </c>
      <c r="F32" s="31">
        <f>336662+E32</f>
        <v>673324</v>
      </c>
      <c r="G32" s="62">
        <v>219019.57</v>
      </c>
      <c r="H32" s="62"/>
      <c r="I32" s="62"/>
      <c r="J32" s="62"/>
      <c r="K32" s="33">
        <f>0+G32</f>
        <v>219019.57</v>
      </c>
      <c r="L32" s="33">
        <f>178800+K32</f>
        <v>397819.57</v>
      </c>
      <c r="M32" s="34">
        <f>E32-K32</f>
        <v>117642.43</v>
      </c>
      <c r="N32" s="63">
        <f>F32-L32</f>
        <v>275504.43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>
        <v>12540</v>
      </c>
      <c r="K33" s="33">
        <f>0+J33</f>
        <v>12540</v>
      </c>
      <c r="L33" s="33">
        <f>0+K33</f>
        <v>12540</v>
      </c>
      <c r="M33" s="34">
        <f>E33-K33</f>
        <v>-12540</v>
      </c>
      <c r="N33" s="63">
        <f>F33-L33</f>
        <v>-12540</v>
      </c>
      <c r="O33" s="64">
        <v>0</v>
      </c>
      <c r="P33" s="65">
        <v>0</v>
      </c>
      <c r="Q33" s="37"/>
      <c r="R33" s="37"/>
    </row>
    <row r="34" spans="1:18" ht="31.5" customHeight="1" thickBot="1">
      <c r="A34" s="69" t="s">
        <v>22</v>
      </c>
      <c r="B34" s="357" t="s">
        <v>56</v>
      </c>
      <c r="C34" s="358"/>
      <c r="D34" s="359"/>
      <c r="E34" s="53">
        <f>SUM(E35:E37)</f>
        <v>140350</v>
      </c>
      <c r="F34" s="53">
        <f>F35+F36+F37</f>
        <v>280700</v>
      </c>
      <c r="G34" s="54">
        <f>G35+G36+G37</f>
        <v>139534.31</v>
      </c>
      <c r="H34" s="54">
        <f>H35</f>
        <v>59760</v>
      </c>
      <c r="I34" s="54"/>
      <c r="J34" s="54">
        <f>J37</f>
        <v>2533.08</v>
      </c>
      <c r="K34" s="53">
        <f>G34+H34+J34</f>
        <v>201827.38999999998</v>
      </c>
      <c r="L34" s="55">
        <f>L35+L36+L37</f>
        <v>201827.38999999998</v>
      </c>
      <c r="M34" s="56">
        <f aca="true" t="shared" si="1" ref="M34:N36">E34-K34</f>
        <v>-61477.389999999985</v>
      </c>
      <c r="N34" s="70">
        <f t="shared" si="1"/>
        <v>78872.61000000002</v>
      </c>
      <c r="O34" s="58">
        <v>0</v>
      </c>
      <c r="P34" s="59">
        <v>0</v>
      </c>
      <c r="Q34" s="1"/>
      <c r="R34" s="1"/>
    </row>
    <row r="35" spans="1:18" ht="15.75" thickBot="1">
      <c r="A35" s="60" t="s">
        <v>57</v>
      </c>
      <c r="B35" s="388" t="s">
        <v>51</v>
      </c>
      <c r="C35" s="389"/>
      <c r="D35" s="390"/>
      <c r="E35" s="151">
        <v>72344</v>
      </c>
      <c r="F35" s="31">
        <f>72344+E35</f>
        <v>144688</v>
      </c>
      <c r="G35" s="62"/>
      <c r="H35" s="62">
        <v>59760</v>
      </c>
      <c r="I35" s="62"/>
      <c r="J35" s="62"/>
      <c r="K35" s="45">
        <f>H35</f>
        <v>59760</v>
      </c>
      <c r="L35" s="33">
        <f>0+K35</f>
        <v>59760</v>
      </c>
      <c r="M35" s="34">
        <f t="shared" si="1"/>
        <v>12584</v>
      </c>
      <c r="N35" s="63">
        <f t="shared" si="1"/>
        <v>84928</v>
      </c>
      <c r="O35" s="64">
        <v>0</v>
      </c>
      <c r="P35" s="65">
        <v>0</v>
      </c>
      <c r="Q35" s="1"/>
      <c r="R35" s="71">
        <f>10506304-F29</f>
        <v>6893460</v>
      </c>
    </row>
    <row r="36" spans="1:18" ht="15.75" thickBot="1">
      <c r="A36" s="60" t="s">
        <v>58</v>
      </c>
      <c r="B36" s="301" t="s">
        <v>53</v>
      </c>
      <c r="C36" s="302"/>
      <c r="D36" s="303"/>
      <c r="E36" s="151">
        <v>68006</v>
      </c>
      <c r="F36" s="31">
        <f>68006+E36</f>
        <v>136012</v>
      </c>
      <c r="G36" s="62">
        <v>139534.31</v>
      </c>
      <c r="H36" s="62"/>
      <c r="I36" s="62"/>
      <c r="J36" s="62"/>
      <c r="K36" s="45">
        <f>G36</f>
        <v>139534.31</v>
      </c>
      <c r="L36" s="33">
        <f>0+K36</f>
        <v>139534.31</v>
      </c>
      <c r="M36" s="34">
        <f>E36-K36</f>
        <v>-71528.31</v>
      </c>
      <c r="N36" s="63">
        <f t="shared" si="1"/>
        <v>-3522.3099999999977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>
        <v>2533.08</v>
      </c>
      <c r="K37" s="45">
        <f>J37</f>
        <v>2533.08</v>
      </c>
      <c r="L37" s="33">
        <f>0+K37</f>
        <v>2533.08</v>
      </c>
      <c r="M37" s="34">
        <f>E37-K37</f>
        <v>-2533.08</v>
      </c>
      <c r="N37" s="63">
        <f>F37-L37</f>
        <v>-2533.08</v>
      </c>
      <c r="O37" s="64">
        <v>0</v>
      </c>
      <c r="P37" s="65">
        <v>0</v>
      </c>
      <c r="Q37" s="1"/>
      <c r="R37" s="1"/>
    </row>
    <row r="38" spans="1:18" ht="29.2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36692</v>
      </c>
      <c r="G38" s="54">
        <f>G40</f>
        <v>4569.780000000001</v>
      </c>
      <c r="H38" s="54"/>
      <c r="I38" s="54"/>
      <c r="J38" s="54"/>
      <c r="K38" s="55">
        <f>K39+K40</f>
        <v>4569.780000000001</v>
      </c>
      <c r="L38" s="55">
        <f>L40+L39</f>
        <v>11577.45</v>
      </c>
      <c r="M38" s="56">
        <f>E38-K38</f>
        <v>4276.219999999999</v>
      </c>
      <c r="N38" s="57">
        <f>F38-L38</f>
        <v>25114.55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27846+E40</f>
        <v>36692</v>
      </c>
      <c r="G40" s="62">
        <f>G41+G42+G43</f>
        <v>4569.780000000001</v>
      </c>
      <c r="H40" s="62"/>
      <c r="I40" s="62"/>
      <c r="J40" s="62"/>
      <c r="K40" s="33">
        <f>0+G40</f>
        <v>4569.780000000001</v>
      </c>
      <c r="L40" s="33">
        <f>L41+L42+L43</f>
        <v>11577.45</v>
      </c>
      <c r="M40" s="34">
        <f aca="true" t="shared" si="2" ref="M40:N55">E40-K40</f>
        <v>4276.219999999999</v>
      </c>
      <c r="N40" s="63">
        <f t="shared" si="2"/>
        <v>25114.55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2846+E41</f>
        <v>5692</v>
      </c>
      <c r="G41" s="62">
        <v>1908.88</v>
      </c>
      <c r="H41" s="62"/>
      <c r="I41" s="62"/>
      <c r="J41" s="62"/>
      <c r="K41" s="33">
        <f>0+G41</f>
        <v>1908.88</v>
      </c>
      <c r="L41" s="33">
        <f>2675.67+K41</f>
        <v>4584.55</v>
      </c>
      <c r="M41" s="34">
        <f t="shared" si="2"/>
        <v>937.1199999999999</v>
      </c>
      <c r="N41" s="63">
        <f t="shared" si="2"/>
        <v>1107.4499999999998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22000+E42</f>
        <v>28000</v>
      </c>
      <c r="G42" s="62">
        <v>2660.9</v>
      </c>
      <c r="H42" s="62"/>
      <c r="I42" s="62"/>
      <c r="J42" s="62"/>
      <c r="K42" s="33">
        <f>0+G42</f>
        <v>2660.9</v>
      </c>
      <c r="L42" s="33">
        <f>2219+K42</f>
        <v>4879.9</v>
      </c>
      <c r="M42" s="34">
        <f t="shared" si="2"/>
        <v>3339.1</v>
      </c>
      <c r="N42" s="63">
        <f t="shared" si="2"/>
        <v>23120.1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29.25" customHeight="1" thickBot="1">
      <c r="A44" s="51" t="s">
        <v>69</v>
      </c>
      <c r="B44" s="357" t="s">
        <v>70</v>
      </c>
      <c r="C44" s="358"/>
      <c r="D44" s="359"/>
      <c r="E44" s="53">
        <f>SUM(E47:E49)</f>
        <v>239000</v>
      </c>
      <c r="F44" s="73">
        <f>F45+F46+F47</f>
        <v>420000</v>
      </c>
      <c r="G44" s="55">
        <f>G45+G46+G47</f>
        <v>178221</v>
      </c>
      <c r="H44" s="75"/>
      <c r="I44" s="75"/>
      <c r="J44" s="54"/>
      <c r="K44" s="55">
        <f>K45+K46+K47</f>
        <v>178221</v>
      </c>
      <c r="L44" s="55">
        <f>L45+L46+L47</f>
        <v>238715</v>
      </c>
      <c r="M44" s="56">
        <f t="shared" si="2"/>
        <v>60779</v>
      </c>
      <c r="N44" s="158">
        <f t="shared" si="2"/>
        <v>181285</v>
      </c>
      <c r="O44" s="58">
        <v>0</v>
      </c>
      <c r="P44" s="59">
        <v>0</v>
      </c>
      <c r="Q44" s="1"/>
      <c r="R44" s="1"/>
    </row>
    <row r="45" spans="1:18" ht="26.25" customHeight="1" thickBot="1">
      <c r="A45" s="60" t="s">
        <v>71</v>
      </c>
      <c r="B45" s="301" t="s">
        <v>53</v>
      </c>
      <c r="C45" s="302"/>
      <c r="D45" s="303"/>
      <c r="E45" s="155">
        <f>E48+E49</f>
        <v>239000</v>
      </c>
      <c r="F45" s="31">
        <f>F48+F49+F50</f>
        <v>420000</v>
      </c>
      <c r="G45" s="33">
        <f>G48+G49</f>
        <v>178221</v>
      </c>
      <c r="H45" s="74"/>
      <c r="I45" s="74"/>
      <c r="J45" s="62"/>
      <c r="K45" s="33">
        <f>0+G45</f>
        <v>178221</v>
      </c>
      <c r="L45" s="33">
        <f>L48+L49</f>
        <v>238715</v>
      </c>
      <c r="M45" s="34">
        <f t="shared" si="2"/>
        <v>60779</v>
      </c>
      <c r="N45" s="35">
        <f t="shared" si="2"/>
        <v>181285</v>
      </c>
      <c r="O45" s="64">
        <v>0</v>
      </c>
      <c r="P45" s="65">
        <v>0</v>
      </c>
      <c r="Q45" s="1"/>
      <c r="R45" s="1"/>
    </row>
    <row r="46" spans="1:18" ht="15.75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308" t="s">
        <v>75</v>
      </c>
      <c r="C48" s="309"/>
      <c r="D48" s="310"/>
      <c r="E48" s="156">
        <v>239000</v>
      </c>
      <c r="F48" s="31">
        <f>171000+E48</f>
        <v>410000</v>
      </c>
      <c r="G48" s="74">
        <v>176804</v>
      </c>
      <c r="H48" s="74"/>
      <c r="I48" s="74"/>
      <c r="J48" s="62"/>
      <c r="K48" s="33">
        <f>0+G48</f>
        <v>176804</v>
      </c>
      <c r="L48" s="33">
        <f>60494+K48</f>
        <v>237298</v>
      </c>
      <c r="M48" s="34">
        <f>E48-K48</f>
        <v>62196</v>
      </c>
      <c r="N48" s="63">
        <f t="shared" si="2"/>
        <v>172702</v>
      </c>
      <c r="O48" s="64">
        <v>0</v>
      </c>
      <c r="P48" s="65">
        <v>0</v>
      </c>
      <c r="Q48" s="1"/>
      <c r="R48" s="37"/>
    </row>
    <row r="49" spans="1:18" ht="32.25" customHeight="1" thickBot="1">
      <c r="A49" s="60" t="s">
        <v>76</v>
      </c>
      <c r="B49" s="308" t="s">
        <v>77</v>
      </c>
      <c r="C49" s="309"/>
      <c r="D49" s="310"/>
      <c r="E49" s="156"/>
      <c r="F49" s="31">
        <f>10000+E49</f>
        <v>10000</v>
      </c>
      <c r="G49" s="74">
        <v>1417</v>
      </c>
      <c r="H49" s="74"/>
      <c r="I49" s="74"/>
      <c r="J49" s="62"/>
      <c r="K49" s="33">
        <f>0+G49</f>
        <v>1417</v>
      </c>
      <c r="L49" s="33">
        <f>0+K49</f>
        <v>1417</v>
      </c>
      <c r="M49" s="34">
        <f t="shared" si="2"/>
        <v>-1417</v>
      </c>
      <c r="N49" s="63">
        <f t="shared" si="2"/>
        <v>8583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15.75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17.25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4.25" customHeight="1" thickBot="1">
      <c r="A54" s="51" t="s">
        <v>84</v>
      </c>
      <c r="B54" s="357" t="s">
        <v>85</v>
      </c>
      <c r="C54" s="358"/>
      <c r="D54" s="359"/>
      <c r="E54" s="53">
        <f>SUM(E59:E63)</f>
        <v>342200</v>
      </c>
      <c r="F54" s="73">
        <f>F55+F58+F56</f>
        <v>683300</v>
      </c>
      <c r="G54" s="55">
        <f>G55+G56+G57+G58</f>
        <v>21759.2</v>
      </c>
      <c r="H54" s="55"/>
      <c r="I54" s="55"/>
      <c r="J54" s="55">
        <f>J55+J56+J57+J58</f>
        <v>0</v>
      </c>
      <c r="K54" s="55">
        <f>K55+K56+K57</f>
        <v>21759.2</v>
      </c>
      <c r="L54" s="55">
        <f>L55+L56+L57+L58</f>
        <v>263877.52</v>
      </c>
      <c r="M54" s="56">
        <f t="shared" si="2"/>
        <v>320440.8</v>
      </c>
      <c r="N54" s="70">
        <f t="shared" si="2"/>
        <v>419422.48</v>
      </c>
      <c r="O54" s="58">
        <v>0</v>
      </c>
      <c r="P54" s="59">
        <v>0</v>
      </c>
      <c r="Q54" s="1"/>
      <c r="R54" s="37">
        <f>F59+F60+F62+F63-F58</f>
        <v>683300</v>
      </c>
    </row>
    <row r="55" spans="1:18" ht="27.75" customHeight="1" thickBot="1">
      <c r="A55" s="60" t="s">
        <v>86</v>
      </c>
      <c r="B55" s="301" t="s">
        <v>53</v>
      </c>
      <c r="C55" s="302"/>
      <c r="D55" s="303"/>
      <c r="E55" s="81"/>
      <c r="F55" s="31"/>
      <c r="G55" s="33">
        <f>G59+G60+G62+G63</f>
        <v>21759.2</v>
      </c>
      <c r="H55" s="33"/>
      <c r="I55" s="33"/>
      <c r="J55" s="33"/>
      <c r="K55" s="33">
        <f>0+G55</f>
        <v>21759.2</v>
      </c>
      <c r="L55" s="33">
        <f>242118.32+K55</f>
        <v>263877.52</v>
      </c>
      <c r="M55" s="34">
        <f t="shared" si="2"/>
        <v>-21759.2</v>
      </c>
      <c r="N55" s="63">
        <f t="shared" si="2"/>
        <v>-263877.52</v>
      </c>
      <c r="O55" s="64">
        <v>0</v>
      </c>
      <c r="P55" s="65">
        <v>0</v>
      </c>
      <c r="Q55" s="1"/>
      <c r="R55" s="37"/>
    </row>
    <row r="56" spans="1:18" ht="28.5" customHeight="1" thickBot="1">
      <c r="A56" s="60" t="s">
        <v>87</v>
      </c>
      <c r="B56" s="388" t="s">
        <v>88</v>
      </c>
      <c r="C56" s="389"/>
      <c r="D56" s="390"/>
      <c r="E56" s="61">
        <f>E59+E60+E62+E63</f>
        <v>342200</v>
      </c>
      <c r="F56" s="192">
        <f>341100+E56</f>
        <v>683300</v>
      </c>
      <c r="G56" s="33"/>
      <c r="H56" s="33"/>
      <c r="I56" s="33"/>
      <c r="J56" s="33"/>
      <c r="K56" s="33">
        <f aca="true" t="shared" si="5" ref="K56:K61">0+G56</f>
        <v>0</v>
      </c>
      <c r="L56" s="33">
        <f>0+K56</f>
        <v>0</v>
      </c>
      <c r="M56" s="34">
        <f>E56-K56</f>
        <v>342200</v>
      </c>
      <c r="N56" s="63">
        <f aca="true" t="shared" si="6" ref="M56:N71">F56-L56</f>
        <v>683300</v>
      </c>
      <c r="O56" s="64">
        <v>0</v>
      </c>
      <c r="P56" s="65">
        <v>0</v>
      </c>
      <c r="Q56" s="1"/>
      <c r="R56" s="37"/>
    </row>
    <row r="57" spans="1:18" ht="18.75" customHeight="1" thickBot="1">
      <c r="A57" s="60" t="s">
        <v>89</v>
      </c>
      <c r="B57" s="351" t="s">
        <v>55</v>
      </c>
      <c r="C57" s="352"/>
      <c r="D57" s="353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>
        <f>L59+L60+L61+L62+L63</f>
        <v>263877.52</v>
      </c>
    </row>
    <row r="58" spans="1:18" ht="27.7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0+K58</f>
        <v>0</v>
      </c>
      <c r="M58" s="34">
        <f t="shared" si="6"/>
        <v>0</v>
      </c>
      <c r="N58" s="63">
        <f t="shared" si="6"/>
        <v>0</v>
      </c>
      <c r="O58" s="64">
        <v>0</v>
      </c>
      <c r="P58" s="65">
        <v>0</v>
      </c>
      <c r="Q58" s="1"/>
      <c r="R58" s="37">
        <f>F59+F60+F62+F63</f>
        <v>683300</v>
      </c>
    </row>
    <row r="59" spans="1:18" ht="29.25" customHeight="1" thickBot="1">
      <c r="A59" s="60" t="s">
        <v>91</v>
      </c>
      <c r="B59" s="325" t="s">
        <v>92</v>
      </c>
      <c r="C59" s="326"/>
      <c r="D59" s="327"/>
      <c r="E59" s="156">
        <v>74000</v>
      </c>
      <c r="F59" s="31">
        <f>74000+E59</f>
        <v>148000</v>
      </c>
      <c r="G59" s="74">
        <v>21759.2</v>
      </c>
      <c r="H59" s="74"/>
      <c r="I59" s="74"/>
      <c r="J59" s="33"/>
      <c r="K59" s="33">
        <f>J59+G59</f>
        <v>21759.2</v>
      </c>
      <c r="L59" s="33">
        <f>0+K59</f>
        <v>21759.2</v>
      </c>
      <c r="M59" s="34">
        <f t="shared" si="6"/>
        <v>52240.8</v>
      </c>
      <c r="N59" s="35">
        <f t="shared" si="6"/>
        <v>126240.8</v>
      </c>
      <c r="O59" s="64">
        <v>0</v>
      </c>
      <c r="P59" s="65">
        <v>0</v>
      </c>
      <c r="Q59" s="1"/>
      <c r="R59" s="80"/>
    </row>
    <row r="60" spans="1:18" ht="17.25" customHeight="1" thickBot="1">
      <c r="A60" s="60" t="s">
        <v>93</v>
      </c>
      <c r="B60" s="325" t="s">
        <v>94</v>
      </c>
      <c r="C60" s="326"/>
      <c r="D60" s="326"/>
      <c r="E60" s="152">
        <v>250000</v>
      </c>
      <c r="F60" s="31">
        <f>250000+E60</f>
        <v>500000</v>
      </c>
      <c r="G60" s="74"/>
      <c r="H60" s="74"/>
      <c r="I60" s="74"/>
      <c r="J60" s="33"/>
      <c r="K60" s="33">
        <f>0+G60</f>
        <v>0</v>
      </c>
      <c r="L60" s="33">
        <f>231422.86+K60</f>
        <v>231422.86</v>
      </c>
      <c r="M60" s="34">
        <f t="shared" si="6"/>
        <v>250000</v>
      </c>
      <c r="N60" s="63">
        <f t="shared" si="6"/>
        <v>268577.14</v>
      </c>
      <c r="O60" s="64">
        <v>0</v>
      </c>
      <c r="P60" s="65">
        <v>0</v>
      </c>
      <c r="Q60" s="1"/>
      <c r="R60" s="37"/>
    </row>
    <row r="61" spans="1:18" ht="17.25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6.5" customHeight="1" thickBot="1">
      <c r="A62" s="60" t="s">
        <v>96</v>
      </c>
      <c r="B62" s="325" t="s">
        <v>97</v>
      </c>
      <c r="C62" s="326"/>
      <c r="D62" s="327"/>
      <c r="E62" s="152">
        <v>9600</v>
      </c>
      <c r="F62" s="31">
        <f>9000+E62</f>
        <v>18600</v>
      </c>
      <c r="G62" s="83"/>
      <c r="H62" s="84"/>
      <c r="I62" s="74"/>
      <c r="J62" s="74"/>
      <c r="K62" s="33">
        <f>0+J62+G62</f>
        <v>0</v>
      </c>
      <c r="L62" s="33">
        <f>5713.03+K62</f>
        <v>5713.03</v>
      </c>
      <c r="M62" s="34">
        <f t="shared" si="6"/>
        <v>9600</v>
      </c>
      <c r="N62" s="63">
        <f t="shared" si="6"/>
        <v>12886.970000000001</v>
      </c>
      <c r="O62" s="64">
        <v>0</v>
      </c>
      <c r="P62" s="65">
        <v>0</v>
      </c>
      <c r="Q62" s="1"/>
      <c r="R62" s="1"/>
    </row>
    <row r="63" spans="1:18" ht="27.75" customHeight="1" thickBot="1">
      <c r="A63" s="60" t="s">
        <v>98</v>
      </c>
      <c r="B63" s="325" t="s">
        <v>99</v>
      </c>
      <c r="C63" s="326"/>
      <c r="D63" s="327"/>
      <c r="E63" s="152">
        <v>8600</v>
      </c>
      <c r="F63" s="31">
        <f>8100+E63</f>
        <v>16700</v>
      </c>
      <c r="G63" s="85"/>
      <c r="H63" s="74"/>
      <c r="I63" s="74"/>
      <c r="J63" s="74"/>
      <c r="K63" s="33">
        <f>0+J63+G63</f>
        <v>0</v>
      </c>
      <c r="L63" s="33">
        <f>4982.43+K63</f>
        <v>4982.43</v>
      </c>
      <c r="M63" s="34">
        <f t="shared" si="6"/>
        <v>8600</v>
      </c>
      <c r="N63" s="63">
        <f t="shared" si="6"/>
        <v>11717.57</v>
      </c>
      <c r="O63" s="64">
        <v>0</v>
      </c>
      <c r="P63" s="65">
        <v>0</v>
      </c>
      <c r="Q63" s="1"/>
      <c r="R63" s="1"/>
    </row>
    <row r="64" spans="1:18" ht="34.5" customHeight="1" thickBot="1">
      <c r="A64" s="86" t="s">
        <v>100</v>
      </c>
      <c r="B64" s="402" t="s">
        <v>101</v>
      </c>
      <c r="C64" s="304"/>
      <c r="D64" s="305"/>
      <c r="E64" s="53">
        <f>E65</f>
        <v>0</v>
      </c>
      <c r="F64" s="73">
        <f>F65+F66</f>
        <v>200000</v>
      </c>
      <c r="G64" s="75">
        <f>G65+G66</f>
        <v>6700</v>
      </c>
      <c r="H64" s="55"/>
      <c r="I64" s="55">
        <f>I66</f>
        <v>0</v>
      </c>
      <c r="J64" s="55">
        <f>J65+J66</f>
        <v>0</v>
      </c>
      <c r="K64" s="55">
        <f>K65+K66</f>
        <v>6700</v>
      </c>
      <c r="L64" s="55">
        <f>L65+L66</f>
        <v>6700</v>
      </c>
      <c r="M64" s="56">
        <f t="shared" si="6"/>
        <v>-6700</v>
      </c>
      <c r="N64" s="70">
        <f t="shared" si="6"/>
        <v>193300</v>
      </c>
      <c r="O64" s="58">
        <v>0</v>
      </c>
      <c r="P64" s="59">
        <v>0</v>
      </c>
      <c r="Q64" s="1"/>
      <c r="R64" s="1"/>
    </row>
    <row r="65" spans="1:18" ht="18" customHeight="1" thickBot="1">
      <c r="A65" s="60" t="s">
        <v>102</v>
      </c>
      <c r="B65" s="391" t="s">
        <v>53</v>
      </c>
      <c r="C65" s="392"/>
      <c r="D65" s="466"/>
      <c r="E65" s="45"/>
      <c r="F65" s="31">
        <f>200000+E65</f>
        <v>200000</v>
      </c>
      <c r="G65" s="74">
        <v>6700</v>
      </c>
      <c r="H65" s="33"/>
      <c r="I65" s="33"/>
      <c r="J65" s="33"/>
      <c r="K65" s="33">
        <f>0+G65</f>
        <v>6700</v>
      </c>
      <c r="L65" s="33">
        <f>0+K65</f>
        <v>6700</v>
      </c>
      <c r="M65" s="34">
        <f t="shared" si="6"/>
        <v>-6700</v>
      </c>
      <c r="N65" s="35">
        <f t="shared" si="6"/>
        <v>193300</v>
      </c>
      <c r="O65" s="64">
        <v>0</v>
      </c>
      <c r="P65" s="65">
        <v>0</v>
      </c>
      <c r="Q65" s="1"/>
      <c r="R65" s="1"/>
    </row>
    <row r="66" spans="1:18" ht="20.25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0.7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100000</v>
      </c>
      <c r="G67" s="75">
        <f>G68+G69</f>
        <v>1000</v>
      </c>
      <c r="H67" s="55"/>
      <c r="I67" s="55">
        <f>I69</f>
        <v>24730</v>
      </c>
      <c r="J67" s="55"/>
      <c r="K67" s="55">
        <f>K68+K69+K70</f>
        <v>25730</v>
      </c>
      <c r="L67" s="55">
        <f>0+K67</f>
        <v>25730</v>
      </c>
      <c r="M67" s="56">
        <f t="shared" si="6"/>
        <v>-25730</v>
      </c>
      <c r="N67" s="70">
        <f t="shared" si="6"/>
        <v>74270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319" t="s">
        <v>53</v>
      </c>
      <c r="C68" s="320"/>
      <c r="D68" s="321"/>
      <c r="E68" s="61"/>
      <c r="F68" s="31">
        <f>100000+E68</f>
        <v>100000</v>
      </c>
      <c r="G68" s="74">
        <v>1000</v>
      </c>
      <c r="H68" s="33"/>
      <c r="I68" s="33"/>
      <c r="J68" s="33"/>
      <c r="K68" s="33">
        <f>G68</f>
        <v>1000</v>
      </c>
      <c r="L68" s="33">
        <f>0+K68</f>
        <v>1000</v>
      </c>
      <c r="M68" s="34">
        <f>E68-K68</f>
        <v>-1000</v>
      </c>
      <c r="N68" s="35">
        <f t="shared" si="6"/>
        <v>99000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391" t="s">
        <v>104</v>
      </c>
      <c r="C69" s="392"/>
      <c r="D69" s="466"/>
      <c r="E69" s="61"/>
      <c r="F69" s="31"/>
      <c r="G69" s="74"/>
      <c r="H69" s="33"/>
      <c r="I69" s="33">
        <v>24730</v>
      </c>
      <c r="J69" s="33"/>
      <c r="K69" s="33">
        <f>I69</f>
        <v>24730</v>
      </c>
      <c r="L69" s="33">
        <f>0+K69</f>
        <v>24730</v>
      </c>
      <c r="M69" s="34">
        <f t="shared" si="6"/>
        <v>-24730</v>
      </c>
      <c r="N69" s="35">
        <f t="shared" si="6"/>
        <v>-24730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19.5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6000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0</v>
      </c>
      <c r="M71" s="56">
        <f t="shared" si="6"/>
        <v>3000</v>
      </c>
      <c r="N71" s="70">
        <f t="shared" si="6"/>
        <v>6000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3000+E72</f>
        <v>6000</v>
      </c>
      <c r="G72" s="74"/>
      <c r="H72" s="33"/>
      <c r="I72" s="33"/>
      <c r="J72" s="33"/>
      <c r="K72" s="33">
        <f>G72</f>
        <v>0</v>
      </c>
      <c r="L72" s="33">
        <f>0+K72</f>
        <v>0</v>
      </c>
      <c r="M72" s="34">
        <f aca="true" t="shared" si="7" ref="M72:N82">E72-K72</f>
        <v>3000</v>
      </c>
      <c r="N72" s="35">
        <f t="shared" si="7"/>
        <v>6000</v>
      </c>
      <c r="O72" s="64">
        <v>0</v>
      </c>
      <c r="P72" s="65">
        <v>0</v>
      </c>
      <c r="Q72" s="1"/>
      <c r="R72" s="1"/>
    </row>
    <row r="73" spans="1:18" ht="1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4.25" customHeight="1" thickBot="1">
      <c r="A74" s="87" t="s">
        <v>112</v>
      </c>
      <c r="B74" s="379" t="s">
        <v>113</v>
      </c>
      <c r="C74" s="380"/>
      <c r="D74" s="381"/>
      <c r="E74" s="53">
        <f>E75</f>
        <v>22000</v>
      </c>
      <c r="F74" s="73">
        <f>F75+F76</f>
        <v>72000</v>
      </c>
      <c r="G74" s="75">
        <f>G75+G76+G77</f>
        <v>1712</v>
      </c>
      <c r="H74" s="55"/>
      <c r="I74" s="55">
        <f>I75+I76</f>
        <v>0</v>
      </c>
      <c r="J74" s="55"/>
      <c r="K74" s="55">
        <f>K75+K76+K77</f>
        <v>1712</v>
      </c>
      <c r="L74" s="55">
        <f>L75+L76+L77</f>
        <v>4712</v>
      </c>
      <c r="M74" s="56">
        <f>E74-K74</f>
        <v>20288</v>
      </c>
      <c r="N74" s="70">
        <f t="shared" si="7"/>
        <v>67288</v>
      </c>
      <c r="O74" s="58">
        <v>0</v>
      </c>
      <c r="P74" s="59">
        <v>0</v>
      </c>
      <c r="Q74" s="1"/>
      <c r="R74" s="1"/>
    </row>
    <row r="75" spans="1:18" ht="28.5" customHeight="1" thickBot="1">
      <c r="A75" s="60" t="s">
        <v>114</v>
      </c>
      <c r="B75" s="301" t="s">
        <v>53</v>
      </c>
      <c r="C75" s="302"/>
      <c r="D75" s="303"/>
      <c r="E75" s="155">
        <v>22000</v>
      </c>
      <c r="F75" s="31">
        <f>50000+E75</f>
        <v>72000</v>
      </c>
      <c r="G75" s="74">
        <v>1712</v>
      </c>
      <c r="H75" s="33"/>
      <c r="I75" s="33"/>
      <c r="J75" s="33"/>
      <c r="K75" s="33">
        <f>G75</f>
        <v>1712</v>
      </c>
      <c r="L75" s="33">
        <f>0+K75</f>
        <v>1712</v>
      </c>
      <c r="M75" s="34">
        <f>E75-K75</f>
        <v>20288</v>
      </c>
      <c r="N75" s="35">
        <f t="shared" si="7"/>
        <v>70288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391" t="s">
        <v>104</v>
      </c>
      <c r="C76" s="392"/>
      <c r="D76" s="466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7"/>
        <v>0</v>
      </c>
      <c r="N76" s="35">
        <f t="shared" si="7"/>
        <v>-3000</v>
      </c>
      <c r="O76" s="64">
        <v>0</v>
      </c>
      <c r="P76" s="65">
        <v>0</v>
      </c>
      <c r="Q76" s="1"/>
      <c r="R76" s="1"/>
    </row>
    <row r="77" spans="1:18" ht="17.25" customHeight="1" thickBot="1">
      <c r="A77" s="60" t="s">
        <v>116</v>
      </c>
      <c r="B77" s="467" t="s">
        <v>221</v>
      </c>
      <c r="C77" s="468"/>
      <c r="D77" s="469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46.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1500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7"/>
        <v>0</v>
      </c>
      <c r="N78" s="70">
        <f t="shared" si="7"/>
        <v>1500</v>
      </c>
      <c r="O78" s="58">
        <v>0</v>
      </c>
      <c r="P78" s="59">
        <v>0</v>
      </c>
      <c r="Q78" s="1"/>
      <c r="R78" s="1"/>
    </row>
    <row r="79" spans="1:18" ht="15.75" customHeight="1" thickBot="1">
      <c r="A79" s="60" t="s">
        <v>119</v>
      </c>
      <c r="B79" s="301" t="s">
        <v>53</v>
      </c>
      <c r="C79" s="302"/>
      <c r="D79" s="303"/>
      <c r="E79" s="81"/>
      <c r="F79" s="31">
        <f>1500+E79</f>
        <v>1500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7"/>
        <v>1500</v>
      </c>
      <c r="O79" s="64">
        <v>0</v>
      </c>
      <c r="P79" s="65">
        <v>0</v>
      </c>
      <c r="Q79" s="1"/>
      <c r="R79" s="1"/>
    </row>
    <row r="80" spans="1:18" ht="16.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7"/>
        <v>0</v>
      </c>
      <c r="N80" s="70">
        <f t="shared" si="7"/>
        <v>0</v>
      </c>
      <c r="O80" s="58">
        <v>0</v>
      </c>
      <c r="P80" s="59">
        <v>0</v>
      </c>
      <c r="Q80" s="1"/>
      <c r="R80" s="1"/>
    </row>
    <row r="81" spans="1:18" ht="18.75" customHeight="1" thickBot="1">
      <c r="A81" s="60" t="s">
        <v>122</v>
      </c>
      <c r="B81" s="391" t="s">
        <v>53</v>
      </c>
      <c r="C81" s="392"/>
      <c r="D81" s="466"/>
      <c r="E81" s="81"/>
      <c r="F81" s="31">
        <f>0+E81</f>
        <v>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7"/>
        <v>0</v>
      </c>
      <c r="N81" s="35">
        <f t="shared" si="7"/>
        <v>0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391" t="s">
        <v>55</v>
      </c>
      <c r="C82" s="392"/>
      <c r="D82" s="466"/>
      <c r="E82" s="81"/>
      <c r="F82" s="33"/>
      <c r="G82" s="74"/>
      <c r="H82" s="92"/>
      <c r="I82" s="33"/>
      <c r="J82" s="92"/>
      <c r="K82" s="33">
        <f>0+J82</f>
        <v>0</v>
      </c>
      <c r="L82" s="33"/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3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88.5" customHeight="1" thickBot="1">
      <c r="A86" s="361"/>
      <c r="B86" s="371"/>
      <c r="C86" s="372"/>
      <c r="D86" s="373"/>
      <c r="E86" s="375"/>
      <c r="F86" s="377"/>
      <c r="G86" s="143" t="s">
        <v>45</v>
      </c>
      <c r="H86" s="143" t="s">
        <v>46</v>
      </c>
      <c r="I86" s="143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143">
        <v>3</v>
      </c>
      <c r="G87" s="143">
        <v>4</v>
      </c>
      <c r="H87" s="143">
        <v>5</v>
      </c>
      <c r="I87" s="7">
        <v>6</v>
      </c>
      <c r="J87" s="7">
        <v>7</v>
      </c>
      <c r="K87" s="48">
        <v>8</v>
      </c>
      <c r="L87" s="140">
        <v>9</v>
      </c>
      <c r="M87" s="7">
        <v>10</v>
      </c>
      <c r="N87" s="140">
        <v>11</v>
      </c>
      <c r="O87" s="7">
        <v>12</v>
      </c>
      <c r="P87" s="140">
        <v>13</v>
      </c>
      <c r="Q87" s="1"/>
      <c r="R87" s="1"/>
    </row>
    <row r="88" spans="1:18" ht="43.5" customHeight="1" thickBot="1">
      <c r="A88" s="51" t="s">
        <v>125</v>
      </c>
      <c r="B88" s="357" t="s">
        <v>126</v>
      </c>
      <c r="C88" s="358"/>
      <c r="D88" s="359"/>
      <c r="E88" s="53">
        <f>E89</f>
        <v>29450</v>
      </c>
      <c r="F88" s="73">
        <f>F89+F90+F91+F92</f>
        <v>65900</v>
      </c>
      <c r="G88" s="53">
        <f>G89+G90+G91+G92</f>
        <v>26594.98</v>
      </c>
      <c r="H88" s="55"/>
      <c r="I88" s="55">
        <f>I89+I90+I91</f>
        <v>59.4</v>
      </c>
      <c r="J88" s="55">
        <f>J92</f>
        <v>78.75</v>
      </c>
      <c r="K88" s="93">
        <f>K89+K90+K91+K92</f>
        <v>26733.13</v>
      </c>
      <c r="L88" s="55">
        <f>L89+L90+L91+L92</f>
        <v>35907.130000000005</v>
      </c>
      <c r="M88" s="56">
        <f aca="true" t="shared" si="8" ref="M88:N103">E88-K88</f>
        <v>2716.869999999999</v>
      </c>
      <c r="N88" s="70">
        <f t="shared" si="8"/>
        <v>29992.869999999995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301" t="s">
        <v>53</v>
      </c>
      <c r="C89" s="302"/>
      <c r="D89" s="303"/>
      <c r="E89" s="61">
        <f>E93+E94+E96+E97+E98+E100+E99+E95</f>
        <v>29450</v>
      </c>
      <c r="F89" s="31">
        <f>36450+E89</f>
        <v>65900</v>
      </c>
      <c r="G89" s="45">
        <f>G93+G94+G96+G97+G98+G99+G100</f>
        <v>26594.98</v>
      </c>
      <c r="H89" s="33"/>
      <c r="I89" s="33"/>
      <c r="J89" s="33"/>
      <c r="K89" s="94">
        <f>G89</f>
        <v>26594.98</v>
      </c>
      <c r="L89" s="33">
        <f>L93+L94+L96+L97+L98+L99+L100+L95-138.15</f>
        <v>35768.98</v>
      </c>
      <c r="M89" s="34">
        <f t="shared" si="8"/>
        <v>2855.0200000000004</v>
      </c>
      <c r="N89" s="35">
        <f t="shared" si="8"/>
        <v>30131.019999999997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351" t="s">
        <v>51</v>
      </c>
      <c r="C90" s="352"/>
      <c r="D90" s="353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129</v>
      </c>
      <c r="B91" s="388" t="s">
        <v>222</v>
      </c>
      <c r="C91" s="389"/>
      <c r="D91" s="390"/>
      <c r="E91" s="61"/>
      <c r="F91" s="31"/>
      <c r="G91" s="45"/>
      <c r="H91" s="33"/>
      <c r="I91" s="33">
        <f>I97</f>
        <v>59.4</v>
      </c>
      <c r="J91" s="33"/>
      <c r="K91" s="94">
        <f>I91</f>
        <v>59.4</v>
      </c>
      <c r="L91" s="33">
        <f aca="true" t="shared" si="10" ref="L91:L116">0+K91</f>
        <v>59.4</v>
      </c>
      <c r="M91" s="34">
        <f t="shared" si="8"/>
        <v>-59.4</v>
      </c>
      <c r="N91" s="35">
        <f t="shared" si="8"/>
        <v>-59.4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78.75</v>
      </c>
      <c r="K92" s="94">
        <f>J92</f>
        <v>78.75</v>
      </c>
      <c r="L92" s="33">
        <f t="shared" si="10"/>
        <v>78.75</v>
      </c>
      <c r="M92" s="34">
        <f t="shared" si="8"/>
        <v>-78.75</v>
      </c>
      <c r="N92" s="35">
        <f t="shared" si="8"/>
        <v>-78.75</v>
      </c>
      <c r="O92" s="64">
        <v>0</v>
      </c>
      <c r="P92" s="65">
        <v>0</v>
      </c>
      <c r="Q92" s="37"/>
      <c r="R92" s="80">
        <f>L93+L94+L95+L96+L97+L98+L99+L100</f>
        <v>35907.130000000005</v>
      </c>
    </row>
    <row r="93" spans="1:18" ht="15.75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3150+E93</f>
        <v>6300</v>
      </c>
      <c r="G93" s="45">
        <v>3000</v>
      </c>
      <c r="H93" s="74"/>
      <c r="I93" s="74"/>
      <c r="J93" s="74"/>
      <c r="K93" s="94">
        <f t="shared" si="9"/>
        <v>3000</v>
      </c>
      <c r="L93" s="33">
        <f>3000+K93</f>
        <v>6000</v>
      </c>
      <c r="M93" s="34">
        <f t="shared" si="8"/>
        <v>150</v>
      </c>
      <c r="N93" s="35">
        <f t="shared" si="8"/>
        <v>300</v>
      </c>
      <c r="O93" s="64">
        <v>0</v>
      </c>
      <c r="P93" s="65">
        <v>0</v>
      </c>
      <c r="Q93" s="1"/>
      <c r="R93" s="37">
        <f>L89+L90+L91+L92</f>
        <v>35907.130000000005</v>
      </c>
    </row>
    <row r="94" spans="1:18" ht="27.75" customHeight="1" thickBot="1">
      <c r="A94" s="60" t="s">
        <v>133</v>
      </c>
      <c r="B94" s="308" t="s">
        <v>134</v>
      </c>
      <c r="C94" s="309"/>
      <c r="D94" s="310"/>
      <c r="E94" s="152">
        <v>4800</v>
      </c>
      <c r="F94" s="31">
        <f>4800+E94</f>
        <v>9600</v>
      </c>
      <c r="G94" s="45">
        <v>3250</v>
      </c>
      <c r="H94" s="74"/>
      <c r="I94" s="74"/>
      <c r="J94" s="74"/>
      <c r="K94" s="94">
        <f>G94</f>
        <v>3250</v>
      </c>
      <c r="L94" s="33">
        <f>3200+K94</f>
        <v>6450</v>
      </c>
      <c r="M94" s="34">
        <f t="shared" si="8"/>
        <v>1550</v>
      </c>
      <c r="N94" s="35">
        <f t="shared" si="8"/>
        <v>3150</v>
      </c>
      <c r="O94" s="64">
        <v>0</v>
      </c>
      <c r="P94" s="65">
        <v>0</v>
      </c>
      <c r="Q94" s="1"/>
      <c r="R94" s="1"/>
    </row>
    <row r="95" spans="1:18" ht="30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 t="shared" si="10"/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207">
        <f>SUM(F93:F100)</f>
        <v>65900</v>
      </c>
    </row>
    <row r="96" spans="1:18" ht="27.75" customHeight="1" thickBot="1">
      <c r="A96" s="60" t="s">
        <v>137</v>
      </c>
      <c r="B96" s="308" t="s">
        <v>138</v>
      </c>
      <c r="C96" s="309"/>
      <c r="D96" s="310"/>
      <c r="E96" s="152">
        <v>1300</v>
      </c>
      <c r="F96" s="192">
        <f>1300+E96</f>
        <v>2600</v>
      </c>
      <c r="G96" s="193">
        <v>2720</v>
      </c>
      <c r="H96" s="74"/>
      <c r="I96" s="74"/>
      <c r="J96" s="74"/>
      <c r="K96" s="94">
        <f t="shared" si="9"/>
        <v>2720</v>
      </c>
      <c r="L96" s="33">
        <f>0+K96</f>
        <v>2720</v>
      </c>
      <c r="M96" s="34">
        <f t="shared" si="8"/>
        <v>-1420</v>
      </c>
      <c r="N96" s="35">
        <f t="shared" si="8"/>
        <v>-120</v>
      </c>
      <c r="O96" s="64">
        <v>0</v>
      </c>
      <c r="P96" s="65">
        <v>0</v>
      </c>
      <c r="Q96" s="1"/>
      <c r="R96" s="1"/>
    </row>
    <row r="97" spans="1:18" ht="19.5" customHeight="1" thickBot="1">
      <c r="A97" s="60" t="s">
        <v>139</v>
      </c>
      <c r="B97" s="308" t="s">
        <v>140</v>
      </c>
      <c r="C97" s="309"/>
      <c r="D97" s="310"/>
      <c r="E97" s="152">
        <v>7000</v>
      </c>
      <c r="F97" s="31">
        <f>7000+E97</f>
        <v>14000</v>
      </c>
      <c r="G97" s="45">
        <v>6266.25</v>
      </c>
      <c r="H97" s="74"/>
      <c r="I97" s="74">
        <v>59.4</v>
      </c>
      <c r="J97" s="74">
        <v>78.75</v>
      </c>
      <c r="K97" s="94">
        <f>G97+I97+J97</f>
        <v>6404.4</v>
      </c>
      <c r="L97" s="33">
        <f>2974+K97</f>
        <v>9378.4</v>
      </c>
      <c r="M97" s="34">
        <f t="shared" si="8"/>
        <v>595.6000000000004</v>
      </c>
      <c r="N97" s="35">
        <f t="shared" si="8"/>
        <v>4621.6</v>
      </c>
      <c r="O97" s="64">
        <v>0</v>
      </c>
      <c r="P97" s="65">
        <v>0</v>
      </c>
      <c r="Q97" s="1"/>
      <c r="R97" s="71">
        <f>F93+F94+F95+F96+F97+F98+F99+F100</f>
        <v>65900</v>
      </c>
    </row>
    <row r="98" spans="1:16" ht="21" customHeight="1" thickBot="1">
      <c r="A98" s="60" t="s">
        <v>141</v>
      </c>
      <c r="B98" s="463" t="s">
        <v>142</v>
      </c>
      <c r="C98" s="464"/>
      <c r="D98" s="465"/>
      <c r="E98" s="152">
        <v>3300</v>
      </c>
      <c r="F98" s="31">
        <f>3300+E98</f>
        <v>6600</v>
      </c>
      <c r="G98" s="45"/>
      <c r="H98" s="74"/>
      <c r="I98" s="74"/>
      <c r="J98" s="74"/>
      <c r="K98" s="94">
        <f t="shared" si="9"/>
        <v>0</v>
      </c>
      <c r="L98" s="33">
        <f>0+K98</f>
        <v>0</v>
      </c>
      <c r="M98" s="34">
        <f t="shared" si="8"/>
        <v>3300</v>
      </c>
      <c r="N98" s="35">
        <f t="shared" si="8"/>
        <v>6600</v>
      </c>
      <c r="O98" s="64">
        <v>0</v>
      </c>
      <c r="P98" s="65">
        <v>0</v>
      </c>
    </row>
    <row r="99" spans="1:16" ht="30" customHeight="1" thickBot="1">
      <c r="A99" s="60" t="s">
        <v>143</v>
      </c>
      <c r="B99" s="308" t="s">
        <v>144</v>
      </c>
      <c r="C99" s="309"/>
      <c r="D99" s="310"/>
      <c r="E99" s="152"/>
      <c r="F99" s="31">
        <f>7000+E99</f>
        <v>7000</v>
      </c>
      <c r="G99" s="45">
        <v>5000</v>
      </c>
      <c r="H99" s="74"/>
      <c r="I99" s="74"/>
      <c r="J99" s="74"/>
      <c r="K99" s="94">
        <f t="shared" si="9"/>
        <v>5000</v>
      </c>
      <c r="L99" s="33">
        <f t="shared" si="10"/>
        <v>5000</v>
      </c>
      <c r="M99" s="34">
        <f t="shared" si="8"/>
        <v>-5000</v>
      </c>
      <c r="N99" s="35">
        <f t="shared" si="8"/>
        <v>2000</v>
      </c>
      <c r="O99" s="64">
        <v>0</v>
      </c>
      <c r="P99" s="65">
        <v>0</v>
      </c>
    </row>
    <row r="100" spans="1:16" ht="20.25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>9900+E100</f>
        <v>19800</v>
      </c>
      <c r="G100" s="45">
        <v>6358.73</v>
      </c>
      <c r="H100" s="74"/>
      <c r="I100" s="74"/>
      <c r="J100" s="74"/>
      <c r="K100" s="94">
        <f>G100</f>
        <v>6358.73</v>
      </c>
      <c r="L100" s="33">
        <f>0+K100</f>
        <v>6358.73</v>
      </c>
      <c r="M100" s="34">
        <f t="shared" si="8"/>
        <v>3541.2700000000004</v>
      </c>
      <c r="N100" s="35">
        <f t="shared" si="8"/>
        <v>13441.27</v>
      </c>
      <c r="O100" s="64">
        <v>0</v>
      </c>
      <c r="P100" s="65">
        <v>0</v>
      </c>
    </row>
    <row r="101" spans="1:18" ht="31.5" customHeight="1" thickBot="1">
      <c r="A101" s="86" t="s">
        <v>147</v>
      </c>
      <c r="B101" s="354" t="s">
        <v>148</v>
      </c>
      <c r="C101" s="306"/>
      <c r="D101" s="307"/>
      <c r="E101" s="73">
        <f>E102+E103</f>
        <v>304600</v>
      </c>
      <c r="F101" s="73">
        <f>F102+F103+F104+F105</f>
        <v>357150</v>
      </c>
      <c r="G101" s="73">
        <f>G102+G104+G105</f>
        <v>36059.229999999996</v>
      </c>
      <c r="H101" s="75">
        <f>H103</f>
        <v>0</v>
      </c>
      <c r="I101" s="55">
        <f>I104</f>
        <v>0</v>
      </c>
      <c r="J101" s="55"/>
      <c r="K101" s="73">
        <f>G101+H101+I101+J101</f>
        <v>36059.229999999996</v>
      </c>
      <c r="L101" s="55">
        <f>L102+L103+L104+L105</f>
        <v>37377.229999999996</v>
      </c>
      <c r="M101" s="56">
        <f>E101-K101</f>
        <v>268540.77</v>
      </c>
      <c r="N101" s="70">
        <f>F101-L101</f>
        <v>319772.77</v>
      </c>
      <c r="O101" s="58">
        <v>0</v>
      </c>
      <c r="P101" s="59">
        <v>0</v>
      </c>
      <c r="R101" s="95">
        <f>L102+L104-L101</f>
        <v>0</v>
      </c>
    </row>
    <row r="102" spans="1:18" ht="26.2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E106+E107+E114+E119+E131+E113+E128+E115+E120+E132+E108</f>
        <v>304600</v>
      </c>
      <c r="F102" s="31">
        <f>52550+E102</f>
        <v>357150</v>
      </c>
      <c r="G102" s="74">
        <f>G106+G107+G108+G109+G110+G111+G112+G113+G114+G115+G116+G117+G118+G119+G126+G127+G128+G129+G130+G131+G120+G132</f>
        <v>36059.229999999996</v>
      </c>
      <c r="H102" s="74"/>
      <c r="I102" s="33"/>
      <c r="J102" s="33"/>
      <c r="K102" s="94">
        <f>G102</f>
        <v>36059.229999999996</v>
      </c>
      <c r="L102" s="33">
        <f>1318+K102</f>
        <v>37377.229999999996</v>
      </c>
      <c r="M102" s="34">
        <f t="shared" si="8"/>
        <v>268540.77</v>
      </c>
      <c r="N102" s="35">
        <f t="shared" si="8"/>
        <v>319772.77</v>
      </c>
      <c r="O102" s="64">
        <v>0</v>
      </c>
      <c r="P102" s="65">
        <v>0</v>
      </c>
      <c r="R102" s="95"/>
    </row>
    <row r="103" spans="1:18" ht="15.75" thickBot="1">
      <c r="A103" s="60" t="s">
        <v>150</v>
      </c>
      <c r="B103" s="351" t="s">
        <v>51</v>
      </c>
      <c r="C103" s="352"/>
      <c r="D103" s="35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15.75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1" ref="M104:N120">E104-K104</f>
        <v>0</v>
      </c>
      <c r="N104" s="35">
        <f t="shared" si="11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/>
      <c r="K105" s="94">
        <f>G105</f>
        <v>0</v>
      </c>
      <c r="L105" s="33">
        <f t="shared" si="10"/>
        <v>0</v>
      </c>
      <c r="M105" s="34">
        <f t="shared" si="11"/>
        <v>0</v>
      </c>
      <c r="N105" s="35">
        <f t="shared" si="11"/>
        <v>0</v>
      </c>
      <c r="O105" s="64">
        <v>0</v>
      </c>
      <c r="P105" s="65">
        <v>0</v>
      </c>
      <c r="R105" s="95">
        <f>L106+L113+L114+L118+L119+L131</f>
        <v>16447.68</v>
      </c>
    </row>
    <row r="106" spans="1:16" ht="28.5" customHeight="1" thickBot="1">
      <c r="A106" s="60" t="s">
        <v>153</v>
      </c>
      <c r="B106" s="311" t="s">
        <v>154</v>
      </c>
      <c r="C106" s="312"/>
      <c r="D106" s="313"/>
      <c r="E106" s="31"/>
      <c r="F106" s="31">
        <f>20000+E106</f>
        <v>20000</v>
      </c>
      <c r="G106" s="74">
        <v>13300</v>
      </c>
      <c r="H106" s="74"/>
      <c r="I106" s="74"/>
      <c r="J106" s="74"/>
      <c r="K106" s="94">
        <f aca="true" t="shared" si="12" ref="K106:K120">G106</f>
        <v>13300</v>
      </c>
      <c r="L106" s="33">
        <f>0+K106</f>
        <v>13300</v>
      </c>
      <c r="M106" s="34">
        <f t="shared" si="11"/>
        <v>-13300</v>
      </c>
      <c r="N106" s="35">
        <f t="shared" si="11"/>
        <v>6700</v>
      </c>
      <c r="O106" s="64">
        <v>0</v>
      </c>
      <c r="P106" s="65">
        <v>0</v>
      </c>
    </row>
    <row r="107" spans="1:16" ht="33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12"/>
        <v>0</v>
      </c>
      <c r="L107" s="33">
        <f t="shared" si="10"/>
        <v>0</v>
      </c>
      <c r="M107" s="34">
        <f t="shared" si="11"/>
        <v>0</v>
      </c>
      <c r="N107" s="35">
        <f t="shared" si="11"/>
        <v>16200</v>
      </c>
      <c r="O107" s="64">
        <v>0</v>
      </c>
      <c r="P107" s="65">
        <v>0</v>
      </c>
    </row>
    <row r="108" spans="1:16" ht="27" customHeight="1" thickBot="1">
      <c r="A108" s="60" t="s">
        <v>157</v>
      </c>
      <c r="B108" s="348" t="s">
        <v>220</v>
      </c>
      <c r="C108" s="349"/>
      <c r="D108" s="350"/>
      <c r="E108" s="31">
        <v>35000</v>
      </c>
      <c r="F108" s="31"/>
      <c r="G108" s="74"/>
      <c r="H108" s="74"/>
      <c r="I108" s="74"/>
      <c r="J108" s="74"/>
      <c r="K108" s="94">
        <f t="shared" si="12"/>
        <v>0</v>
      </c>
      <c r="L108" s="33">
        <f t="shared" si="10"/>
        <v>0</v>
      </c>
      <c r="M108" s="34">
        <f t="shared" si="11"/>
        <v>35000</v>
      </c>
      <c r="N108" s="35">
        <f t="shared" si="11"/>
        <v>0</v>
      </c>
      <c r="O108" s="64">
        <v>0</v>
      </c>
      <c r="P108" s="65">
        <v>0</v>
      </c>
    </row>
    <row r="109" spans="1:16" ht="26.25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 t="shared" si="10"/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</row>
    <row r="110" spans="1:18" ht="30.7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 t="shared" si="10"/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  <c r="R110" s="96"/>
    </row>
    <row r="111" spans="1:16" ht="27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>
        <v>7200.8</v>
      </c>
      <c r="H111" s="74"/>
      <c r="I111" s="74"/>
      <c r="J111" s="74"/>
      <c r="K111" s="94">
        <f t="shared" si="12"/>
        <v>7200.8</v>
      </c>
      <c r="L111" s="33">
        <f t="shared" si="10"/>
        <v>7200.8</v>
      </c>
      <c r="M111" s="34">
        <f t="shared" si="11"/>
        <v>-7200.8</v>
      </c>
      <c r="N111" s="35">
        <f t="shared" si="11"/>
        <v>-7200.8</v>
      </c>
      <c r="O111" s="64">
        <v>0</v>
      </c>
      <c r="P111" s="65">
        <v>0</v>
      </c>
    </row>
    <row r="112" spans="1:16" ht="31.5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2"/>
        <v>0</v>
      </c>
      <c r="L112" s="33">
        <f t="shared" si="10"/>
        <v>0</v>
      </c>
      <c r="M112" s="34">
        <f t="shared" si="11"/>
        <v>0</v>
      </c>
      <c r="N112" s="35">
        <f t="shared" si="11"/>
        <v>0</v>
      </c>
      <c r="O112" s="64">
        <v>0</v>
      </c>
      <c r="P112" s="65">
        <v>0</v>
      </c>
    </row>
    <row r="113" spans="1:16" ht="21.75" customHeight="1" thickBot="1">
      <c r="A113" s="60" t="s">
        <v>167</v>
      </c>
      <c r="B113" s="308" t="s">
        <v>168</v>
      </c>
      <c r="C113" s="309"/>
      <c r="D113" s="310"/>
      <c r="E113" s="31">
        <v>40000</v>
      </c>
      <c r="F113" s="31"/>
      <c r="G113" s="74"/>
      <c r="H113" s="74"/>
      <c r="I113" s="74"/>
      <c r="J113" s="74"/>
      <c r="K113" s="94">
        <f t="shared" si="12"/>
        <v>0</v>
      </c>
      <c r="L113" s="33">
        <f>0+K113</f>
        <v>0</v>
      </c>
      <c r="M113" s="34">
        <f t="shared" si="11"/>
        <v>40000</v>
      </c>
      <c r="N113" s="35">
        <f t="shared" si="11"/>
        <v>0</v>
      </c>
      <c r="O113" s="64">
        <v>0</v>
      </c>
      <c r="P113" s="65">
        <v>0</v>
      </c>
    </row>
    <row r="114" spans="1:16" ht="41.25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3000+E114</f>
        <v>6000</v>
      </c>
      <c r="G114" s="74">
        <v>1630.68</v>
      </c>
      <c r="H114" s="74"/>
      <c r="I114" s="74"/>
      <c r="J114" s="74"/>
      <c r="K114" s="94">
        <f t="shared" si="12"/>
        <v>1630.68</v>
      </c>
      <c r="L114" s="33">
        <f>0+K114</f>
        <v>1630.68</v>
      </c>
      <c r="M114" s="34">
        <f t="shared" si="11"/>
        <v>1369.32</v>
      </c>
      <c r="N114" s="35">
        <f t="shared" si="11"/>
        <v>4369.32</v>
      </c>
      <c r="O114" s="64">
        <v>0</v>
      </c>
      <c r="P114" s="65">
        <v>0</v>
      </c>
    </row>
    <row r="115" spans="1:16" ht="27.75" customHeight="1" thickBot="1">
      <c r="A115" s="60" t="s">
        <v>171</v>
      </c>
      <c r="B115" s="308" t="s">
        <v>172</v>
      </c>
      <c r="C115" s="309"/>
      <c r="D115" s="310"/>
      <c r="E115" s="31"/>
      <c r="F115" s="31">
        <f>6000+E115</f>
        <v>6000</v>
      </c>
      <c r="G115" s="74"/>
      <c r="H115" s="74"/>
      <c r="I115" s="74"/>
      <c r="J115" s="74"/>
      <c r="K115" s="94">
        <f t="shared" si="12"/>
        <v>0</v>
      </c>
      <c r="L115" s="33">
        <f t="shared" si="10"/>
        <v>0</v>
      </c>
      <c r="M115" s="34">
        <f t="shared" si="11"/>
        <v>0</v>
      </c>
      <c r="N115" s="35">
        <f t="shared" si="11"/>
        <v>6000</v>
      </c>
      <c r="O115" s="64">
        <v>0</v>
      </c>
      <c r="P115" s="65">
        <v>0</v>
      </c>
    </row>
    <row r="116" spans="1:16" ht="27" customHeight="1" thickBot="1">
      <c r="A116" s="60" t="s">
        <v>173</v>
      </c>
      <c r="B116" s="308" t="s">
        <v>174</v>
      </c>
      <c r="C116" s="309"/>
      <c r="D116" s="310"/>
      <c r="E116" s="31"/>
      <c r="F116" s="31"/>
      <c r="G116" s="74"/>
      <c r="H116" s="74"/>
      <c r="I116" s="74"/>
      <c r="J116" s="74"/>
      <c r="K116" s="94">
        <f t="shared" si="12"/>
        <v>0</v>
      </c>
      <c r="L116" s="33">
        <f t="shared" si="10"/>
        <v>0</v>
      </c>
      <c r="M116" s="34">
        <f t="shared" si="11"/>
        <v>0</v>
      </c>
      <c r="N116" s="35">
        <f t="shared" si="11"/>
        <v>0</v>
      </c>
      <c r="O116" s="64">
        <v>0</v>
      </c>
      <c r="P116" s="65">
        <v>0</v>
      </c>
    </row>
    <row r="117" spans="1:16" ht="26.2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1"/>
        <v>0</v>
      </c>
      <c r="N117" s="35">
        <f t="shared" si="11"/>
        <v>0</v>
      </c>
      <c r="O117" s="64">
        <v>0</v>
      </c>
      <c r="P117" s="65">
        <v>0</v>
      </c>
    </row>
    <row r="118" spans="1:16" ht="30.75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>
        <v>1517</v>
      </c>
      <c r="H118" s="74"/>
      <c r="I118" s="74"/>
      <c r="J118" s="74"/>
      <c r="K118" s="94">
        <f>G118</f>
        <v>1517</v>
      </c>
      <c r="L118" s="33">
        <f>0+K118</f>
        <v>1517</v>
      </c>
      <c r="M118" s="34">
        <f t="shared" si="11"/>
        <v>-1517</v>
      </c>
      <c r="N118" s="35">
        <f t="shared" si="11"/>
        <v>-1517</v>
      </c>
      <c r="O118" s="64">
        <v>0</v>
      </c>
      <c r="P118" s="65">
        <v>0</v>
      </c>
    </row>
    <row r="119" spans="1:18" ht="29.25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11"/>
        <v>0</v>
      </c>
      <c r="N119" s="35">
        <f t="shared" si="11"/>
        <v>0</v>
      </c>
      <c r="O119" s="64">
        <v>0</v>
      </c>
      <c r="P119" s="65">
        <v>0</v>
      </c>
      <c r="R119" s="96">
        <f>F131+F129+F128+F119+F115+F114+F113+F107+F106</f>
        <v>273200</v>
      </c>
    </row>
    <row r="120" spans="1:16" ht="29.25" customHeight="1" thickBot="1">
      <c r="A120" s="97" t="s">
        <v>180</v>
      </c>
      <c r="B120" s="308" t="s">
        <v>181</v>
      </c>
      <c r="C120" s="309"/>
      <c r="D120" s="310"/>
      <c r="E120" s="31">
        <v>1600</v>
      </c>
      <c r="F120" s="31">
        <f>1400+E120</f>
        <v>3000</v>
      </c>
      <c r="G120" s="74">
        <v>4050</v>
      </c>
      <c r="H120" s="74"/>
      <c r="I120" s="74"/>
      <c r="J120" s="74"/>
      <c r="K120" s="94">
        <f t="shared" si="12"/>
        <v>4050</v>
      </c>
      <c r="L120" s="33">
        <f>0+K120</f>
        <v>4050</v>
      </c>
      <c r="M120" s="34">
        <f t="shared" si="11"/>
        <v>-2450</v>
      </c>
      <c r="N120" s="35">
        <f t="shared" si="11"/>
        <v>-1050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6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75" customHeight="1" thickBot="1">
      <c r="A124" s="146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143">
        <v>3</v>
      </c>
      <c r="G125" s="143">
        <v>4</v>
      </c>
      <c r="H125" s="143">
        <v>5</v>
      </c>
      <c r="I125" s="7">
        <v>6</v>
      </c>
      <c r="J125" s="7">
        <v>7</v>
      </c>
      <c r="K125" s="48">
        <v>8</v>
      </c>
      <c r="L125" s="140">
        <v>9</v>
      </c>
      <c r="M125" s="7">
        <v>10</v>
      </c>
      <c r="N125" s="140">
        <v>11</v>
      </c>
      <c r="O125" s="7">
        <v>12</v>
      </c>
      <c r="P125" s="140">
        <v>13</v>
      </c>
    </row>
    <row r="126" spans="1:16" ht="34.5" customHeight="1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13" ref="K126:K141">G126</f>
        <v>0</v>
      </c>
      <c r="L126" s="33">
        <f>0+K126</f>
        <v>0</v>
      </c>
      <c r="M126" s="34">
        <f aca="true" t="shared" si="14" ref="M126:N142">E126-K126</f>
        <v>0</v>
      </c>
      <c r="N126" s="35">
        <f t="shared" si="14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325" t="s">
        <v>185</v>
      </c>
      <c r="C127" s="326"/>
      <c r="D127" s="327"/>
      <c r="E127" s="31"/>
      <c r="F127" s="31"/>
      <c r="G127" s="74"/>
      <c r="H127" s="74"/>
      <c r="I127" s="74"/>
      <c r="J127" s="74"/>
      <c r="K127" s="94">
        <f t="shared" si="13"/>
        <v>0</v>
      </c>
      <c r="L127" s="33">
        <f>0+K127</f>
        <v>0</v>
      </c>
      <c r="M127" s="34">
        <f t="shared" si="14"/>
        <v>0</v>
      </c>
      <c r="N127" s="35">
        <f t="shared" si="14"/>
        <v>0</v>
      </c>
      <c r="O127" s="64">
        <v>0</v>
      </c>
      <c r="P127" s="65">
        <v>0</v>
      </c>
    </row>
    <row r="128" spans="1:16" ht="37.5" customHeight="1" thickBot="1">
      <c r="A128" s="108" t="s">
        <v>186</v>
      </c>
      <c r="B128" s="325" t="s">
        <v>187</v>
      </c>
      <c r="C128" s="326"/>
      <c r="D128" s="327"/>
      <c r="E128" s="31"/>
      <c r="F128" s="31">
        <f>0+E128</f>
        <v>0</v>
      </c>
      <c r="G128" s="74">
        <v>1615.75</v>
      </c>
      <c r="H128" s="74"/>
      <c r="I128" s="74"/>
      <c r="J128" s="74"/>
      <c r="K128" s="94">
        <f>I128+G128</f>
        <v>1615.75</v>
      </c>
      <c r="L128" s="33">
        <f>0+K128</f>
        <v>1615.75</v>
      </c>
      <c r="M128" s="34">
        <f t="shared" si="14"/>
        <v>-1615.75</v>
      </c>
      <c r="N128" s="35">
        <f t="shared" si="14"/>
        <v>-1615.75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4"/>
        <v>0</v>
      </c>
      <c r="N129" s="35">
        <f t="shared" si="14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325" t="s">
        <v>191</v>
      </c>
      <c r="C130" s="326"/>
      <c r="D130" s="327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4"/>
        <v>0</v>
      </c>
      <c r="N130" s="35">
        <f t="shared" si="14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60" t="s">
        <v>218</v>
      </c>
      <c r="C131" s="461"/>
      <c r="D131" s="462"/>
      <c r="E131" s="31">
        <v>225000</v>
      </c>
      <c r="F131" s="31">
        <f>0+E131</f>
        <v>225000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4"/>
        <v>225000</v>
      </c>
      <c r="N131" s="35">
        <f t="shared" si="14"/>
        <v>225000</v>
      </c>
      <c r="O131" s="64">
        <v>0</v>
      </c>
      <c r="P131" s="65">
        <v>0</v>
      </c>
    </row>
    <row r="132" spans="1:16" ht="27.75" customHeight="1" thickBot="1">
      <c r="A132" s="109" t="s">
        <v>213</v>
      </c>
      <c r="B132" s="460" t="s">
        <v>214</v>
      </c>
      <c r="C132" s="461"/>
      <c r="D132" s="462"/>
      <c r="E132" s="31"/>
      <c r="F132" s="31">
        <f>5950+E132</f>
        <v>5950</v>
      </c>
      <c r="G132" s="74">
        <v>6745</v>
      </c>
      <c r="H132" s="74"/>
      <c r="I132" s="74"/>
      <c r="J132" s="74"/>
      <c r="K132" s="94">
        <f>G132+I132</f>
        <v>6745</v>
      </c>
      <c r="L132" s="33">
        <f>1318+K132</f>
        <v>8063</v>
      </c>
      <c r="M132" s="34">
        <f>E132-K132</f>
        <v>-6745</v>
      </c>
      <c r="N132" s="35">
        <f>F132-L132</f>
        <v>-2113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0</v>
      </c>
      <c r="F133" s="73">
        <f>F134</f>
        <v>0</v>
      </c>
      <c r="G133" s="75">
        <f>G134+G135</f>
        <v>6480</v>
      </c>
      <c r="H133" s="74"/>
      <c r="I133" s="74"/>
      <c r="J133" s="74"/>
      <c r="K133" s="93">
        <f t="shared" si="13"/>
        <v>6480</v>
      </c>
      <c r="L133" s="55">
        <f>L134+L135</f>
        <v>7080</v>
      </c>
      <c r="M133" s="56">
        <f t="shared" si="14"/>
        <v>-6480</v>
      </c>
      <c r="N133" s="70">
        <f t="shared" si="14"/>
        <v>-7080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61"/>
      <c r="F134" s="31">
        <f>0+E134</f>
        <v>0</v>
      </c>
      <c r="G134" s="74">
        <v>6480</v>
      </c>
      <c r="H134" s="74"/>
      <c r="I134" s="74"/>
      <c r="J134" s="74"/>
      <c r="K134" s="94">
        <f t="shared" si="13"/>
        <v>6480</v>
      </c>
      <c r="L134" s="33">
        <f>600+K134</f>
        <v>7080</v>
      </c>
      <c r="M134" s="34">
        <f t="shared" si="14"/>
        <v>-6480</v>
      </c>
      <c r="N134" s="35">
        <f t="shared" si="14"/>
        <v>-7080</v>
      </c>
      <c r="O134" s="64">
        <v>0</v>
      </c>
      <c r="P134" s="65">
        <v>0</v>
      </c>
      <c r="Q134" s="1"/>
      <c r="R134" s="1"/>
      <c r="S134" s="1"/>
    </row>
    <row r="135" spans="1:19" ht="30.7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3"/>
        <v>0</v>
      </c>
      <c r="L135" s="33">
        <f>0+K135</f>
        <v>0</v>
      </c>
      <c r="M135" s="34">
        <f t="shared" si="14"/>
        <v>0</v>
      </c>
      <c r="N135" s="35">
        <f t="shared" si="14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13"/>
        <v>0</v>
      </c>
      <c r="L136" s="55">
        <f>0+K136</f>
        <v>0</v>
      </c>
      <c r="M136" s="56">
        <f t="shared" si="14"/>
        <v>0</v>
      </c>
      <c r="N136" s="70">
        <f t="shared" si="14"/>
        <v>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13"/>
        <v>0</v>
      </c>
      <c r="L137" s="33">
        <f>0+K137</f>
        <v>0</v>
      </c>
      <c r="M137" s="34">
        <f t="shared" si="14"/>
        <v>0</v>
      </c>
      <c r="N137" s="35">
        <f t="shared" si="14"/>
        <v>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3"/>
        <v>0</v>
      </c>
      <c r="L138" s="33">
        <f>0+K138</f>
        <v>0</v>
      </c>
      <c r="M138" s="34">
        <f t="shared" si="14"/>
        <v>0</v>
      </c>
      <c r="N138" s="35">
        <f t="shared" si="14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 t="shared" si="13"/>
        <v>0</v>
      </c>
      <c r="L139" s="55">
        <f>L140</f>
        <v>0</v>
      </c>
      <c r="M139" s="56">
        <f t="shared" si="14"/>
        <v>0</v>
      </c>
      <c r="N139" s="70">
        <f t="shared" si="14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13"/>
        <v>0</v>
      </c>
      <c r="L140" s="33">
        <f>0+K140</f>
        <v>0</v>
      </c>
      <c r="M140" s="34">
        <f t="shared" si="14"/>
        <v>0</v>
      </c>
      <c r="N140" s="35">
        <f t="shared" si="14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3"/>
        <v>0</v>
      </c>
      <c r="L141" s="33">
        <f>0+K141</f>
        <v>0</v>
      </c>
      <c r="M141" s="34">
        <f t="shared" si="14"/>
        <v>0</v>
      </c>
      <c r="N141" s="35">
        <f t="shared" si="14"/>
        <v>0</v>
      </c>
      <c r="O141" s="64">
        <v>0</v>
      </c>
      <c r="P141" s="65">
        <v>0</v>
      </c>
      <c r="Q141" s="1"/>
      <c r="R141" s="1"/>
      <c r="S141" s="1"/>
    </row>
    <row r="142" spans="1:19" ht="22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>
        <v>155753.89</v>
      </c>
      <c r="K142" s="93">
        <f>J142</f>
        <v>155753.89</v>
      </c>
      <c r="L142" s="55">
        <f>0+K142</f>
        <v>155753.89</v>
      </c>
      <c r="M142" s="56">
        <f t="shared" si="14"/>
        <v>-155753.89</v>
      </c>
      <c r="N142" s="70">
        <f t="shared" si="14"/>
        <v>-155753.89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136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116"/>
      <c r="P143" s="139"/>
      <c r="Q143" s="1"/>
      <c r="R143" s="1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137">
        <v>0</v>
      </c>
      <c r="N144" s="137">
        <v>0</v>
      </c>
      <c r="O144" s="4"/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-14406.320000000025</v>
      </c>
      <c r="H145" s="4">
        <f>G18+H10-H31-H35</f>
        <v>283100</v>
      </c>
      <c r="I145" s="299">
        <f>I10+G19-I104-I66-I97-I76-I69</f>
        <v>10.599999999998545</v>
      </c>
      <c r="J145" s="300"/>
      <c r="K145" s="120">
        <f>O10+G22-J54</f>
        <v>12598.5</v>
      </c>
      <c r="L145" s="4">
        <f>L10+G23-J142</f>
        <v>285512.58999999997</v>
      </c>
      <c r="M145" s="137">
        <v>0</v>
      </c>
      <c r="N145" s="4">
        <f>N10+G21-J33-J37-J92</f>
        <v>1151.4099999999999</v>
      </c>
      <c r="O145" s="121"/>
      <c r="P145" s="4">
        <f>SUM(G145:O145)</f>
        <v>567966.7799999999</v>
      </c>
      <c r="Q145" s="1"/>
      <c r="R145" s="80">
        <f>P5+L16-L29</f>
        <v>567966.7799999993</v>
      </c>
      <c r="S145" s="37"/>
    </row>
    <row r="146" spans="1:19" ht="24.75" customHeight="1" thickBot="1">
      <c r="A146" s="122"/>
      <c r="B146" s="288" t="s">
        <v>219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567966.7799999999</v>
      </c>
      <c r="Q146" s="1"/>
      <c r="R146" s="37">
        <f>P5+L16-L29</f>
        <v>567966.7799999993</v>
      </c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134"/>
      <c r="C150" s="134"/>
      <c r="D150" s="134"/>
      <c r="E150" s="134"/>
      <c r="F150" s="134"/>
      <c r="G150" s="134"/>
      <c r="H150" s="134"/>
      <c r="I150" s="134"/>
      <c r="J150" s="130"/>
      <c r="K150" s="131"/>
      <c r="L150" s="130"/>
      <c r="M150" s="134"/>
      <c r="N150" s="134"/>
      <c r="O150" s="134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4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53:D5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77:D77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82:D82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F146:O146"/>
    <mergeCell ref="B148:E148"/>
    <mergeCell ref="F148:N148"/>
    <mergeCell ref="O148:P148"/>
    <mergeCell ref="B149:E149"/>
    <mergeCell ref="F149:N149"/>
    <mergeCell ref="O149:P149"/>
    <mergeCell ref="B143:E143"/>
    <mergeCell ref="I143:J143"/>
    <mergeCell ref="B144:E144"/>
    <mergeCell ref="I144:J144"/>
    <mergeCell ref="B145:E145"/>
    <mergeCell ref="I145:J145"/>
    <mergeCell ref="B137:D137"/>
    <mergeCell ref="B138:D138"/>
    <mergeCell ref="B139:D139"/>
    <mergeCell ref="B140:D140"/>
    <mergeCell ref="B141:D141"/>
    <mergeCell ref="B142:D142"/>
    <mergeCell ref="B130:D130"/>
    <mergeCell ref="B131:D131"/>
    <mergeCell ref="B146:E146"/>
    <mergeCell ref="B133:D133"/>
    <mergeCell ref="B134:D134"/>
    <mergeCell ref="B135:D135"/>
    <mergeCell ref="B136:D136"/>
    <mergeCell ref="B132:D132"/>
  </mergeCells>
  <printOptions/>
  <pageMargins left="0" right="0.03937007874015748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88">
      <selection activeCell="G97" sqref="G97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421875" style="2" customWidth="1"/>
    <col min="5" max="8" width="12.7109375" style="2" customWidth="1"/>
    <col min="9" max="9" width="10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3.28125" style="2" customWidth="1"/>
    <col min="14" max="14" width="13.140625" style="2" customWidth="1"/>
    <col min="15" max="15" width="8.421875" style="2" customWidth="1"/>
    <col min="16" max="16" width="10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 customHeight="1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 customHeight="1">
      <c r="A2" s="1"/>
      <c r="B2" s="458" t="s">
        <v>223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customHeight="1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1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4.75" customHeight="1" thickBot="1">
      <c r="A6" s="3"/>
      <c r="B6" s="451" t="s">
        <v>224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198">
        <f>P10</f>
        <v>567966.78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customHeight="1" thickBot="1">
      <c r="A8" s="6"/>
      <c r="B8" s="451" t="s">
        <v>3</v>
      </c>
      <c r="C8" s="288"/>
      <c r="D8" s="288"/>
      <c r="E8" s="289"/>
      <c r="F8" s="296" t="s">
        <v>4</v>
      </c>
      <c r="G8" s="297"/>
      <c r="H8" s="7" t="s">
        <v>5</v>
      </c>
      <c r="I8" s="296" t="s">
        <v>6</v>
      </c>
      <c r="J8" s="297"/>
      <c r="K8" s="8" t="s">
        <v>7</v>
      </c>
      <c r="L8" s="7" t="s">
        <v>8</v>
      </c>
      <c r="M8" s="195" t="s">
        <v>9</v>
      </c>
      <c r="N8" s="200" t="s">
        <v>10</v>
      </c>
      <c r="O8" s="11" t="s">
        <v>11</v>
      </c>
      <c r="P8" s="12"/>
    </row>
    <row r="9" spans="1:16" ht="22.5" customHeight="1" thickBot="1">
      <c r="A9" s="3"/>
      <c r="B9" s="448" t="s">
        <v>12</v>
      </c>
      <c r="C9" s="449"/>
      <c r="D9" s="449"/>
      <c r="E9" s="450"/>
      <c r="F9" s="299">
        <v>0</v>
      </c>
      <c r="G9" s="300"/>
      <c r="H9" s="4">
        <v>0</v>
      </c>
      <c r="I9" s="299">
        <v>0</v>
      </c>
      <c r="J9" s="300"/>
      <c r="K9" s="13">
        <v>0</v>
      </c>
      <c r="L9" s="4">
        <v>0</v>
      </c>
      <c r="M9" s="197">
        <v>0</v>
      </c>
      <c r="N9" s="4">
        <v>0</v>
      </c>
      <c r="O9" s="15">
        <v>0</v>
      </c>
      <c r="P9" s="198">
        <v>0</v>
      </c>
    </row>
    <row r="10" spans="1:16" ht="24.75" customHeight="1" thickBot="1">
      <c r="A10" s="3"/>
      <c r="B10" s="448" t="s">
        <v>13</v>
      </c>
      <c r="C10" s="449"/>
      <c r="D10" s="449"/>
      <c r="E10" s="450"/>
      <c r="F10" s="299">
        <v>-14406.32</v>
      </c>
      <c r="G10" s="300"/>
      <c r="H10" s="4">
        <v>283100</v>
      </c>
      <c r="I10" s="299">
        <v>10.6</v>
      </c>
      <c r="J10" s="300"/>
      <c r="K10" s="13">
        <v>0</v>
      </c>
      <c r="L10" s="4">
        <v>285512.59</v>
      </c>
      <c r="M10" s="197">
        <v>0</v>
      </c>
      <c r="N10" s="4">
        <v>1151.41</v>
      </c>
      <c r="O10" s="4">
        <v>12598.5</v>
      </c>
      <c r="P10" s="198">
        <f>SUM(F10:O10)</f>
        <v>567966.78</v>
      </c>
    </row>
    <row r="11" spans="1:16" ht="15.75" thickBot="1">
      <c r="A11" s="204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 customHeight="1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27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201">
        <v>3</v>
      </c>
      <c r="G14" s="403">
        <v>4</v>
      </c>
      <c r="H14" s="404"/>
      <c r="I14" s="404"/>
      <c r="J14" s="405"/>
      <c r="K14" s="19">
        <v>5</v>
      </c>
      <c r="L14" s="199">
        <v>6</v>
      </c>
      <c r="M14" s="7">
        <v>7</v>
      </c>
      <c r="N14" s="199">
        <v>8</v>
      </c>
      <c r="O14" s="199">
        <v>9</v>
      </c>
      <c r="P14" s="7">
        <v>10</v>
      </c>
    </row>
    <row r="15" spans="1:16" ht="29.25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3" customHeight="1" thickBot="1">
      <c r="A16" s="413"/>
      <c r="B16" s="431"/>
      <c r="C16" s="432"/>
      <c r="D16" s="433"/>
      <c r="E16" s="26">
        <f>SUM(E17:E23)</f>
        <v>1472747</v>
      </c>
      <c r="F16" s="27">
        <f>SUM(F17:F23)</f>
        <v>5085591</v>
      </c>
      <c r="G16" s="437">
        <f>G17+G18+G19+G20+G21+G22+G23</f>
        <v>2140542.54</v>
      </c>
      <c r="H16" s="438"/>
      <c r="I16" s="438"/>
      <c r="J16" s="439"/>
      <c r="K16" s="206">
        <f>SUM(K17:K23)</f>
        <v>2140542.54</v>
      </c>
      <c r="L16" s="206">
        <f>SUM(L17:L23)</f>
        <v>4342342.08</v>
      </c>
      <c r="M16" s="206">
        <f>SUM(M17:M23)</f>
        <v>-667795.54</v>
      </c>
      <c r="N16" s="206">
        <f>SUM(N17:N23)</f>
        <v>743248.9200000002</v>
      </c>
      <c r="O16" s="29">
        <v>0</v>
      </c>
      <c r="P16" s="29">
        <v>0</v>
      </c>
    </row>
    <row r="17" spans="1:18" ht="57.75" customHeight="1" thickBot="1">
      <c r="A17" s="30" t="s">
        <v>29</v>
      </c>
      <c r="B17" s="393" t="s">
        <v>30</v>
      </c>
      <c r="C17" s="394"/>
      <c r="D17" s="395"/>
      <c r="E17" s="154">
        <v>749063</v>
      </c>
      <c r="F17" s="31">
        <f>2068578+E17</f>
        <v>2817641</v>
      </c>
      <c r="G17" s="409">
        <v>971760.01</v>
      </c>
      <c r="H17" s="410"/>
      <c r="I17" s="410"/>
      <c r="J17" s="411"/>
      <c r="K17" s="203">
        <f>G17</f>
        <v>971760.01</v>
      </c>
      <c r="L17" s="33">
        <f>1084045.55+K17</f>
        <v>2055805.56</v>
      </c>
      <c r="M17" s="34">
        <f>E17-K17</f>
        <v>-222697.01</v>
      </c>
      <c r="N17" s="35">
        <f>F17-L17</f>
        <v>761835.44</v>
      </c>
      <c r="O17" s="36">
        <v>0</v>
      </c>
      <c r="P17" s="36">
        <v>0</v>
      </c>
      <c r="Q17" s="1"/>
      <c r="R17" s="37">
        <v>365352.1499999948</v>
      </c>
    </row>
    <row r="18" spans="1:18" ht="43.5" customHeight="1" thickBot="1">
      <c r="A18" s="38" t="s">
        <v>31</v>
      </c>
      <c r="B18" s="422" t="s">
        <v>32</v>
      </c>
      <c r="C18" s="423"/>
      <c r="D18" s="424"/>
      <c r="E18" s="148">
        <v>430484</v>
      </c>
      <c r="F18" s="31">
        <f>860966+E18</f>
        <v>1291450</v>
      </c>
      <c r="G18" s="409">
        <v>468053.5</v>
      </c>
      <c r="H18" s="410"/>
      <c r="I18" s="410"/>
      <c r="J18" s="411"/>
      <c r="K18" s="203">
        <f>G18</f>
        <v>468053.5</v>
      </c>
      <c r="L18" s="33">
        <f>823500+K18</f>
        <v>1291553.5</v>
      </c>
      <c r="M18" s="34">
        <f>E18-K18</f>
        <v>-37569.5</v>
      </c>
      <c r="N18" s="35">
        <f>F18-L18</f>
        <v>-103.5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203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57.75" customHeight="1" thickBot="1">
      <c r="A20" s="41" t="s">
        <v>35</v>
      </c>
      <c r="B20" s="416" t="s">
        <v>36</v>
      </c>
      <c r="C20" s="417"/>
      <c r="D20" s="418"/>
      <c r="E20" s="42">
        <v>293200</v>
      </c>
      <c r="F20" s="31">
        <f>683300+E20</f>
        <v>976500</v>
      </c>
      <c r="G20" s="409">
        <v>567078.67</v>
      </c>
      <c r="H20" s="410"/>
      <c r="I20" s="410"/>
      <c r="J20" s="411"/>
      <c r="K20" s="203">
        <f>G20</f>
        <v>567078.67</v>
      </c>
      <c r="L20" s="33">
        <f>0+K20</f>
        <v>567078.67</v>
      </c>
      <c r="M20" s="34">
        <f t="shared" si="0"/>
        <v>-273878.67000000004</v>
      </c>
      <c r="N20" s="35">
        <f t="shared" si="0"/>
        <v>409421.32999999996</v>
      </c>
      <c r="O20" s="36">
        <v>0</v>
      </c>
      <c r="P20" s="36">
        <v>0</v>
      </c>
      <c r="Q20" s="37"/>
      <c r="R20" s="37"/>
    </row>
    <row r="21" spans="1:18" ht="35.25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203">
        <f>G21</f>
        <v>0</v>
      </c>
      <c r="L21" s="33">
        <f>16250+K21</f>
        <v>16250</v>
      </c>
      <c r="M21" s="34">
        <f t="shared" si="0"/>
        <v>0</v>
      </c>
      <c r="N21" s="35">
        <f t="shared" si="0"/>
        <v>-16250</v>
      </c>
      <c r="O21" s="36">
        <v>0</v>
      </c>
      <c r="P21" s="36">
        <v>0</v>
      </c>
      <c r="Q21" s="37"/>
      <c r="R21" s="1"/>
    </row>
    <row r="22" spans="1:18" ht="40.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/>
      <c r="H22" s="410"/>
      <c r="I22" s="410"/>
      <c r="J22" s="411"/>
      <c r="K22" s="203">
        <f>G22</f>
        <v>0</v>
      </c>
      <c r="L22" s="33">
        <f>7335.66+K22</f>
        <v>7335.66</v>
      </c>
      <c r="M22" s="34">
        <f>E22-K22</f>
        <v>0</v>
      </c>
      <c r="N22" s="35">
        <f t="shared" si="0"/>
        <v>-7335.66</v>
      </c>
      <c r="O22" s="36">
        <v>0</v>
      </c>
      <c r="P22" s="36">
        <v>0</v>
      </c>
      <c r="Q22" s="1"/>
      <c r="R22" s="1"/>
    </row>
    <row r="23" spans="1:18" ht="30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133650.36</v>
      </c>
      <c r="H23" s="410"/>
      <c r="I23" s="410"/>
      <c r="J23" s="411"/>
      <c r="K23" s="203">
        <f>G23</f>
        <v>133650.36</v>
      </c>
      <c r="L23" s="33">
        <f>245868.33+K23</f>
        <v>379518.68999999994</v>
      </c>
      <c r="M23" s="34">
        <f t="shared" si="0"/>
        <v>-133650.36</v>
      </c>
      <c r="N23" s="35">
        <f t="shared" si="0"/>
        <v>-379518.68999999994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3.7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customHeight="1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71.25" customHeight="1" thickBot="1">
      <c r="A27" s="413"/>
      <c r="B27" s="371"/>
      <c r="C27" s="372"/>
      <c r="D27" s="373"/>
      <c r="E27" s="375"/>
      <c r="F27" s="377"/>
      <c r="G27" s="202" t="s">
        <v>45</v>
      </c>
      <c r="H27" s="202" t="s">
        <v>46</v>
      </c>
      <c r="I27" s="202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202">
        <v>3</v>
      </c>
      <c r="G28" s="202">
        <v>4</v>
      </c>
      <c r="H28" s="202">
        <v>5</v>
      </c>
      <c r="I28" s="7">
        <v>6</v>
      </c>
      <c r="J28" s="7">
        <v>7</v>
      </c>
      <c r="K28" s="48">
        <v>8</v>
      </c>
      <c r="L28" s="199">
        <v>9</v>
      </c>
      <c r="M28" s="7">
        <v>10</v>
      </c>
      <c r="N28" s="199">
        <v>11</v>
      </c>
      <c r="O28" s="7">
        <v>12</v>
      </c>
      <c r="P28" s="199">
        <v>13</v>
      </c>
      <c r="Q28" s="1"/>
      <c r="R28" s="1"/>
    </row>
    <row r="29" spans="1:18" ht="19.5" customHeight="1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1472747</v>
      </c>
      <c r="F29" s="49">
        <f>F30+F34+F38+F44+F51+F54+F64+F67+F71+F74+F78+F80+F88+F101+F133+F136+F139+F142</f>
        <v>5085591</v>
      </c>
      <c r="G29" s="49">
        <f>G30+G34+G38+G44+G51+G54+G64+G67+G71+G74+G78+G80+G88+G101+G133+G136+G139+G142</f>
        <v>888286.3500000001</v>
      </c>
      <c r="H29" s="49">
        <f>H30+H34+H38+H44+H51+H54+H64+H67+H71+H74+H78+H80+H88+H101+H133+H136+H139+H142</f>
        <v>1027678.6699999999</v>
      </c>
      <c r="I29" s="49">
        <f>I30+I34+I38+I44+I51+I54+I64+I67+I71+I74+I78+I80+I88+I101+I133+I136+I139+I142</f>
        <v>0</v>
      </c>
      <c r="J29" s="49">
        <f>J30+J34+J38+J44+J51+J54+J64+J67+J71+J74+J78+J80+J88+J101+J133+J136+J139+J142</f>
        <v>288969.22</v>
      </c>
      <c r="K29" s="49">
        <f>K30+K34+K38+K44+K51+K54+K64+K67+K71+K74+K78+K80+K88+K101+K133+K136+K139+K142</f>
        <v>2204874.2399999998</v>
      </c>
      <c r="L29" s="49">
        <f>L30+L34+L38+L44+L51+L54+L64+L67+L71+L74+L78+L80+L88+L101+L133+L136+L139+L142</f>
        <v>4085191.42</v>
      </c>
      <c r="M29" s="49">
        <f>M30+M34+M38+M44+M51+M54+M64+M67+M71+M74+M78+M80+M88+M101+M133+M136+M139+M142</f>
        <v>-732127.24</v>
      </c>
      <c r="N29" s="49">
        <f>N30+N34+N38+N44+N51+N54+N64+N67+N71+N74+N78+N80+N88+N101+N133+N136+N139+N142</f>
        <v>1000399.5799999998</v>
      </c>
      <c r="O29" s="50">
        <v>0</v>
      </c>
      <c r="P29" s="50">
        <v>0</v>
      </c>
      <c r="Q29" s="1"/>
      <c r="R29" s="37"/>
    </row>
    <row r="30" spans="1:18" ht="21" customHeight="1" thickBot="1">
      <c r="A30" s="51" t="s">
        <v>21</v>
      </c>
      <c r="B30" s="402" t="s">
        <v>49</v>
      </c>
      <c r="C30" s="304"/>
      <c r="D30" s="305"/>
      <c r="E30" s="52">
        <f>SUM(E31:E32)</f>
        <v>694801</v>
      </c>
      <c r="F30" s="53">
        <f>F31+F32+F33</f>
        <v>2084403</v>
      </c>
      <c r="G30" s="54">
        <f>G31+G32+G33</f>
        <v>339602.75</v>
      </c>
      <c r="H30" s="54">
        <f>H31</f>
        <v>381968</v>
      </c>
      <c r="I30" s="54"/>
      <c r="J30" s="54">
        <f>J33</f>
        <v>0</v>
      </c>
      <c r="K30" s="53">
        <f>G30+H30+J30</f>
        <v>721570.75</v>
      </c>
      <c r="L30" s="55">
        <f>L31+L32+L33</f>
        <v>1612570.32</v>
      </c>
      <c r="M30" s="56">
        <f>E30-K30</f>
        <v>-26769.75</v>
      </c>
      <c r="N30" s="70">
        <f>F30-L30</f>
        <v>471832.67999999993</v>
      </c>
      <c r="O30" s="58">
        <v>0</v>
      </c>
      <c r="P30" s="59">
        <v>0</v>
      </c>
      <c r="Q30" s="37"/>
      <c r="R30" s="37"/>
    </row>
    <row r="31" spans="1:18" ht="21.75" customHeight="1" thickBot="1">
      <c r="A31" s="60" t="s">
        <v>50</v>
      </c>
      <c r="B31" s="388" t="s">
        <v>51</v>
      </c>
      <c r="C31" s="389"/>
      <c r="D31" s="390"/>
      <c r="E31" s="172">
        <v>358140</v>
      </c>
      <c r="F31" s="31">
        <f>716278+E31</f>
        <v>1074418</v>
      </c>
      <c r="G31" s="62"/>
      <c r="H31" s="62">
        <v>381968</v>
      </c>
      <c r="I31" s="62"/>
      <c r="J31" s="62"/>
      <c r="K31" s="45">
        <f>H31</f>
        <v>381968</v>
      </c>
      <c r="L31" s="33">
        <f>480640+K31</f>
        <v>862608</v>
      </c>
      <c r="M31" s="34">
        <f>E31-K31</f>
        <v>-23828</v>
      </c>
      <c r="N31" s="63">
        <f>F31-L31</f>
        <v>211810</v>
      </c>
      <c r="O31" s="64">
        <v>0</v>
      </c>
      <c r="P31" s="65">
        <v>0</v>
      </c>
      <c r="Q31" s="37"/>
      <c r="R31" s="37"/>
    </row>
    <row r="32" spans="1:18" ht="28.5" customHeight="1" thickBot="1">
      <c r="A32" s="60" t="s">
        <v>52</v>
      </c>
      <c r="B32" s="301" t="s">
        <v>53</v>
      </c>
      <c r="C32" s="302"/>
      <c r="D32" s="303"/>
      <c r="E32" s="172">
        <v>336661</v>
      </c>
      <c r="F32" s="31">
        <f>673324+E32</f>
        <v>1009985</v>
      </c>
      <c r="G32" s="62">
        <v>339602.75</v>
      </c>
      <c r="H32" s="62"/>
      <c r="I32" s="62"/>
      <c r="J32" s="62"/>
      <c r="K32" s="33">
        <f>0+G32</f>
        <v>339602.75</v>
      </c>
      <c r="L32" s="33">
        <f>397819.57+K32</f>
        <v>737422.3200000001</v>
      </c>
      <c r="M32" s="34">
        <f>E32-K32</f>
        <v>-2941.75</v>
      </c>
      <c r="N32" s="63">
        <f>F32-L32</f>
        <v>272562.67999999993</v>
      </c>
      <c r="O32" s="64">
        <v>0</v>
      </c>
      <c r="P32" s="65">
        <v>0</v>
      </c>
      <c r="Q32" s="37"/>
      <c r="R32" s="37"/>
    </row>
    <row r="33" spans="1:18" ht="27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33">
        <f>0+J33</f>
        <v>0</v>
      </c>
      <c r="L33" s="33">
        <f>12540+K33</f>
        <v>12540</v>
      </c>
      <c r="M33" s="34">
        <f>E33-K33</f>
        <v>0</v>
      </c>
      <c r="N33" s="63">
        <f>F33-L33</f>
        <v>-12540</v>
      </c>
      <c r="O33" s="64">
        <v>0</v>
      </c>
      <c r="P33" s="65">
        <v>0</v>
      </c>
      <c r="Q33" s="37"/>
      <c r="R33" s="37"/>
    </row>
    <row r="34" spans="1:18" ht="31.5" customHeight="1" thickBot="1">
      <c r="A34" s="69" t="s">
        <v>22</v>
      </c>
      <c r="B34" s="357" t="s">
        <v>56</v>
      </c>
      <c r="C34" s="358"/>
      <c r="D34" s="359"/>
      <c r="E34" s="53">
        <f>SUM(E35:E37)</f>
        <v>140350</v>
      </c>
      <c r="F34" s="53">
        <f>F35+F36+F37</f>
        <v>421050</v>
      </c>
      <c r="G34" s="54">
        <f>G35+G36+G37</f>
        <v>65169.06</v>
      </c>
      <c r="H34" s="54">
        <f>H35</f>
        <v>78632</v>
      </c>
      <c r="I34" s="54"/>
      <c r="J34" s="54">
        <f>J37</f>
        <v>0</v>
      </c>
      <c r="K34" s="53">
        <f>G34+H34+J34</f>
        <v>143801.06</v>
      </c>
      <c r="L34" s="55">
        <f>L35+L36+L37</f>
        <v>345628.45</v>
      </c>
      <c r="M34" s="56">
        <f aca="true" t="shared" si="1" ref="M34:N37">E34-K34</f>
        <v>-3451.0599999999977</v>
      </c>
      <c r="N34" s="70">
        <f t="shared" si="1"/>
        <v>75421.54999999999</v>
      </c>
      <c r="O34" s="58">
        <v>0</v>
      </c>
      <c r="P34" s="59">
        <v>0</v>
      </c>
      <c r="Q34" s="1"/>
      <c r="R34" s="1"/>
    </row>
    <row r="35" spans="1:18" ht="23.25" customHeight="1" thickBot="1">
      <c r="A35" s="60" t="s">
        <v>57</v>
      </c>
      <c r="B35" s="388" t="s">
        <v>51</v>
      </c>
      <c r="C35" s="389"/>
      <c r="D35" s="390"/>
      <c r="E35" s="151">
        <v>72344</v>
      </c>
      <c r="F35" s="31">
        <f>144688+E35</f>
        <v>217032</v>
      </c>
      <c r="G35" s="62"/>
      <c r="H35" s="62">
        <v>78632</v>
      </c>
      <c r="I35" s="62"/>
      <c r="J35" s="62"/>
      <c r="K35" s="45">
        <f>H35</f>
        <v>78632</v>
      </c>
      <c r="L35" s="33">
        <f>59760+K35</f>
        <v>138392</v>
      </c>
      <c r="M35" s="34">
        <f t="shared" si="1"/>
        <v>-6288</v>
      </c>
      <c r="N35" s="63">
        <f t="shared" si="1"/>
        <v>78640</v>
      </c>
      <c r="O35" s="64">
        <v>0</v>
      </c>
      <c r="P35" s="65">
        <v>0</v>
      </c>
      <c r="Q35" s="1"/>
      <c r="R35" s="71">
        <f>10506304-F29</f>
        <v>5420713</v>
      </c>
    </row>
    <row r="36" spans="1:18" ht="31.5" customHeight="1" thickBot="1">
      <c r="A36" s="60" t="s">
        <v>58</v>
      </c>
      <c r="B36" s="301" t="s">
        <v>53</v>
      </c>
      <c r="C36" s="302"/>
      <c r="D36" s="303"/>
      <c r="E36" s="151">
        <v>68006</v>
      </c>
      <c r="F36" s="31">
        <f>136012+E36</f>
        <v>204018</v>
      </c>
      <c r="G36" s="62">
        <v>65169.06</v>
      </c>
      <c r="H36" s="62"/>
      <c r="I36" s="62"/>
      <c r="J36" s="62"/>
      <c r="K36" s="45">
        <f>G36</f>
        <v>65169.06</v>
      </c>
      <c r="L36" s="33">
        <f>139534.31+K36</f>
        <v>204703.37</v>
      </c>
      <c r="M36" s="34">
        <f>E36-K36</f>
        <v>2836.9400000000023</v>
      </c>
      <c r="N36" s="63">
        <f t="shared" si="1"/>
        <v>-685.3699999999953</v>
      </c>
      <c r="O36" s="64">
        <v>0</v>
      </c>
      <c r="P36" s="65">
        <v>0</v>
      </c>
      <c r="Q36" s="1"/>
      <c r="R36" s="1"/>
    </row>
    <row r="37" spans="1:18" ht="27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>
        <f>J37</f>
        <v>0</v>
      </c>
      <c r="L37" s="33">
        <f>2533.08+K37</f>
        <v>2533.08</v>
      </c>
      <c r="M37" s="34">
        <f>E37-K37</f>
        <v>0</v>
      </c>
      <c r="N37" s="63">
        <f t="shared" si="1"/>
        <v>-2533.08</v>
      </c>
      <c r="O37" s="64">
        <v>0</v>
      </c>
      <c r="P37" s="65">
        <v>0</v>
      </c>
      <c r="Q37" s="1"/>
      <c r="R37" s="1"/>
    </row>
    <row r="38" spans="1:18" ht="31.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45538</v>
      </c>
      <c r="G38" s="54">
        <f>G40</f>
        <v>4691.84</v>
      </c>
      <c r="H38" s="54"/>
      <c r="I38" s="54"/>
      <c r="J38" s="54"/>
      <c r="K38" s="55">
        <f>K39+K40</f>
        <v>4691.84</v>
      </c>
      <c r="L38" s="55">
        <f>L40+L39</f>
        <v>16269.289999999999</v>
      </c>
      <c r="M38" s="56">
        <f>E38-K38</f>
        <v>4154.16</v>
      </c>
      <c r="N38" s="57">
        <f>F38-L38</f>
        <v>29268.71</v>
      </c>
      <c r="O38" s="58">
        <v>0</v>
      </c>
      <c r="P38" s="59">
        <v>0</v>
      </c>
      <c r="Q38" s="1"/>
      <c r="R38" s="1"/>
    </row>
    <row r="39" spans="1:18" ht="20.2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0.75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36692+E40</f>
        <v>45538</v>
      </c>
      <c r="G40" s="62">
        <f>G41+G42+G43</f>
        <v>4691.84</v>
      </c>
      <c r="H40" s="62"/>
      <c r="I40" s="62"/>
      <c r="J40" s="62"/>
      <c r="K40" s="33">
        <f>0+G40</f>
        <v>4691.84</v>
      </c>
      <c r="L40" s="33">
        <f>L41+L42+L43</f>
        <v>16269.289999999999</v>
      </c>
      <c r="M40" s="34">
        <f aca="true" t="shared" si="2" ref="M40:N55">E40-K40</f>
        <v>4154.16</v>
      </c>
      <c r="N40" s="63">
        <f t="shared" si="2"/>
        <v>29268.71</v>
      </c>
      <c r="O40" s="64">
        <v>0</v>
      </c>
      <c r="P40" s="65">
        <v>0</v>
      </c>
      <c r="Q40" s="1"/>
      <c r="R40" s="1"/>
    </row>
    <row r="41" spans="1:18" ht="17.25" customHeight="1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5692+E41</f>
        <v>8538</v>
      </c>
      <c r="G41" s="62">
        <v>2030.94</v>
      </c>
      <c r="H41" s="62"/>
      <c r="I41" s="62"/>
      <c r="J41" s="62"/>
      <c r="K41" s="33">
        <f>0+G41</f>
        <v>2030.94</v>
      </c>
      <c r="L41" s="33">
        <f>4584.55+K41</f>
        <v>6615.49</v>
      </c>
      <c r="M41" s="34">
        <f t="shared" si="2"/>
        <v>815.06</v>
      </c>
      <c r="N41" s="63">
        <f t="shared" si="2"/>
        <v>1922.5100000000002</v>
      </c>
      <c r="O41" s="64">
        <v>0</v>
      </c>
      <c r="P41" s="65">
        <v>0</v>
      </c>
      <c r="Q41" s="1"/>
      <c r="R41" s="1"/>
    </row>
    <row r="42" spans="1:18" ht="21" customHeight="1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28000+E42</f>
        <v>34000</v>
      </c>
      <c r="G42" s="62">
        <v>2660.9</v>
      </c>
      <c r="H42" s="62"/>
      <c r="I42" s="62"/>
      <c r="J42" s="62"/>
      <c r="K42" s="33">
        <f>0+G42</f>
        <v>2660.9</v>
      </c>
      <c r="L42" s="33">
        <f>4879.9+K42</f>
        <v>7540.799999999999</v>
      </c>
      <c r="M42" s="34">
        <f t="shared" si="2"/>
        <v>3339.1</v>
      </c>
      <c r="N42" s="63">
        <f t="shared" si="2"/>
        <v>26459.2</v>
      </c>
      <c r="O42" s="64">
        <v>0</v>
      </c>
      <c r="P42" s="65">
        <v>0</v>
      </c>
      <c r="Q42" s="1"/>
      <c r="R42" s="1"/>
    </row>
    <row r="43" spans="1:18" ht="17.25" customHeight="1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33" customHeight="1" thickBot="1">
      <c r="A44" s="51" t="s">
        <v>69</v>
      </c>
      <c r="B44" s="357" t="s">
        <v>70</v>
      </c>
      <c r="C44" s="358"/>
      <c r="D44" s="359"/>
      <c r="E44" s="53">
        <f>SUM(E47:E49)</f>
        <v>190000</v>
      </c>
      <c r="F44" s="73">
        <f>F45+F46+F47</f>
        <v>610000</v>
      </c>
      <c r="G44" s="55">
        <f>G45+G46+G47</f>
        <v>229543</v>
      </c>
      <c r="H44" s="75"/>
      <c r="I44" s="75"/>
      <c r="J44" s="54"/>
      <c r="K44" s="55">
        <f>K45+K46+K47</f>
        <v>229543</v>
      </c>
      <c r="L44" s="55">
        <f>L45+L46+L47</f>
        <v>468258</v>
      </c>
      <c r="M44" s="56">
        <f t="shared" si="2"/>
        <v>-39543</v>
      </c>
      <c r="N44" s="158">
        <f t="shared" si="2"/>
        <v>141742</v>
      </c>
      <c r="O44" s="58">
        <v>0</v>
      </c>
      <c r="P44" s="59">
        <v>0</v>
      </c>
      <c r="Q44" s="1"/>
      <c r="R44" s="1"/>
    </row>
    <row r="45" spans="1:18" ht="29.25" customHeight="1" thickBot="1">
      <c r="A45" s="60" t="s">
        <v>71</v>
      </c>
      <c r="B45" s="301" t="s">
        <v>53</v>
      </c>
      <c r="C45" s="302"/>
      <c r="D45" s="303"/>
      <c r="E45" s="155">
        <f>E48+E49</f>
        <v>190000</v>
      </c>
      <c r="F45" s="31">
        <f>F48+F49+F50</f>
        <v>610000</v>
      </c>
      <c r="G45" s="33">
        <f>G48+G49</f>
        <v>229543</v>
      </c>
      <c r="H45" s="74"/>
      <c r="I45" s="74"/>
      <c r="J45" s="62"/>
      <c r="K45" s="33">
        <f>0+G45</f>
        <v>229543</v>
      </c>
      <c r="L45" s="33">
        <f>L48+L49</f>
        <v>468258</v>
      </c>
      <c r="M45" s="34">
        <f t="shared" si="2"/>
        <v>-39543</v>
      </c>
      <c r="N45" s="35">
        <f t="shared" si="2"/>
        <v>141742</v>
      </c>
      <c r="O45" s="64">
        <v>0</v>
      </c>
      <c r="P45" s="65">
        <v>0</v>
      </c>
      <c r="Q45" s="1"/>
      <c r="R45" s="1"/>
    </row>
    <row r="46" spans="1:18" ht="18.7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20.2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8.5" customHeight="1" thickBot="1">
      <c r="A48" s="60" t="s">
        <v>74</v>
      </c>
      <c r="B48" s="308" t="s">
        <v>75</v>
      </c>
      <c r="C48" s="309"/>
      <c r="D48" s="310"/>
      <c r="E48" s="156">
        <v>180000</v>
      </c>
      <c r="F48" s="31">
        <f>410000+E48</f>
        <v>590000</v>
      </c>
      <c r="G48" s="74">
        <v>226905</v>
      </c>
      <c r="H48" s="74"/>
      <c r="I48" s="74"/>
      <c r="J48" s="62"/>
      <c r="K48" s="33">
        <f>0+G48</f>
        <v>226905</v>
      </c>
      <c r="L48" s="33">
        <f>237298+K48</f>
        <v>464203</v>
      </c>
      <c r="M48" s="34">
        <f>E48-K48</f>
        <v>-46905</v>
      </c>
      <c r="N48" s="63">
        <f t="shared" si="2"/>
        <v>125797</v>
      </c>
      <c r="O48" s="64">
        <v>0</v>
      </c>
      <c r="P48" s="65">
        <v>0</v>
      </c>
      <c r="Q48" s="1"/>
      <c r="R48" s="37"/>
    </row>
    <row r="49" spans="1:18" ht="30.75" customHeight="1" thickBot="1">
      <c r="A49" s="60" t="s">
        <v>76</v>
      </c>
      <c r="B49" s="308" t="s">
        <v>77</v>
      </c>
      <c r="C49" s="309"/>
      <c r="D49" s="310"/>
      <c r="E49" s="156">
        <v>10000</v>
      </c>
      <c r="F49" s="31">
        <f>10000+E49</f>
        <v>20000</v>
      </c>
      <c r="G49" s="74">
        <v>2638</v>
      </c>
      <c r="H49" s="74"/>
      <c r="I49" s="74"/>
      <c r="J49" s="62"/>
      <c r="K49" s="33">
        <f>0+G49</f>
        <v>2638</v>
      </c>
      <c r="L49" s="33">
        <f>1417+K49</f>
        <v>4055</v>
      </c>
      <c r="M49" s="34">
        <f t="shared" si="2"/>
        <v>7362</v>
      </c>
      <c r="N49" s="63">
        <f t="shared" si="2"/>
        <v>15945</v>
      </c>
      <c r="O49" s="64">
        <v>0</v>
      </c>
      <c r="P49" s="65">
        <v>0</v>
      </c>
      <c r="Q49" s="1"/>
      <c r="R49" s="1"/>
    </row>
    <row r="50" spans="1:18" ht="25.5" customHeight="1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9.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.75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4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5" customHeight="1" thickBot="1">
      <c r="A54" s="51" t="s">
        <v>84</v>
      </c>
      <c r="B54" s="357" t="s">
        <v>85</v>
      </c>
      <c r="C54" s="358"/>
      <c r="D54" s="359"/>
      <c r="E54" s="53">
        <f>SUM(E59:E63)</f>
        <v>293200</v>
      </c>
      <c r="F54" s="73">
        <f>F55+F58+F56</f>
        <v>976500</v>
      </c>
      <c r="G54" s="55">
        <f>G55+G56+G57+G58</f>
        <v>0</v>
      </c>
      <c r="H54" s="55">
        <f>H56</f>
        <v>567078.6699999999</v>
      </c>
      <c r="I54" s="55"/>
      <c r="J54" s="55">
        <f>J55+J56+J57+J58</f>
        <v>14253.16</v>
      </c>
      <c r="K54" s="55">
        <f>K55+K56+K57+K58</f>
        <v>581331.83</v>
      </c>
      <c r="L54" s="55">
        <f>L55+L56+L57+L58</f>
        <v>845209.35</v>
      </c>
      <c r="M54" s="56">
        <f t="shared" si="2"/>
        <v>-288131.82999999996</v>
      </c>
      <c r="N54" s="70">
        <f t="shared" si="2"/>
        <v>131290.65000000002</v>
      </c>
      <c r="O54" s="58">
        <v>0</v>
      </c>
      <c r="P54" s="59">
        <v>0</v>
      </c>
      <c r="Q54" s="1"/>
      <c r="R54" s="37">
        <f>F59+F60+F62+F63-F58</f>
        <v>976500</v>
      </c>
    </row>
    <row r="55" spans="1:18" ht="30" customHeight="1" thickBot="1">
      <c r="A55" s="60" t="s">
        <v>86</v>
      </c>
      <c r="B55" s="301" t="s">
        <v>53</v>
      </c>
      <c r="C55" s="302"/>
      <c r="D55" s="303"/>
      <c r="E55" s="81"/>
      <c r="F55" s="31"/>
      <c r="G55" s="33"/>
      <c r="H55" s="33"/>
      <c r="I55" s="33"/>
      <c r="J55" s="33"/>
      <c r="K55" s="33">
        <f>0+G55</f>
        <v>0</v>
      </c>
      <c r="L55" s="33">
        <f>263877.52+K55</f>
        <v>263877.52</v>
      </c>
      <c r="M55" s="34">
        <f t="shared" si="2"/>
        <v>0</v>
      </c>
      <c r="N55" s="63">
        <f t="shared" si="2"/>
        <v>-263877.52</v>
      </c>
      <c r="O55" s="64">
        <v>0</v>
      </c>
      <c r="P55" s="65">
        <v>0</v>
      </c>
      <c r="Q55" s="1"/>
      <c r="R55" s="37"/>
    </row>
    <row r="56" spans="1:18" ht="29.25" customHeight="1" thickBot="1">
      <c r="A56" s="60" t="s">
        <v>87</v>
      </c>
      <c r="B56" s="388" t="s">
        <v>88</v>
      </c>
      <c r="C56" s="389"/>
      <c r="D56" s="390"/>
      <c r="E56" s="155">
        <f>E59+E60+E62+E63</f>
        <v>293200</v>
      </c>
      <c r="F56" s="31">
        <f>683300+E56</f>
        <v>976500</v>
      </c>
      <c r="G56" s="33">
        <f>G60</f>
        <v>0</v>
      </c>
      <c r="H56" s="33">
        <f>H59+H62+H63+H60</f>
        <v>567078.6699999999</v>
      </c>
      <c r="I56" s="33"/>
      <c r="J56" s="33"/>
      <c r="K56" s="33">
        <f>0+H56</f>
        <v>567078.6699999999</v>
      </c>
      <c r="L56" s="33">
        <f>0+K56</f>
        <v>567078.6699999999</v>
      </c>
      <c r="M56" s="34">
        <f>E56-K56</f>
        <v>-273878.6699999999</v>
      </c>
      <c r="N56" s="63">
        <f aca="true" t="shared" si="5" ref="M56:N71">F56-L56</f>
        <v>409421.3300000001</v>
      </c>
      <c r="O56" s="64">
        <v>0</v>
      </c>
      <c r="P56" s="65">
        <v>0</v>
      </c>
      <c r="Q56" s="1"/>
      <c r="R56" s="37">
        <f>K56+K58</f>
        <v>581331.83</v>
      </c>
    </row>
    <row r="57" spans="1:18" ht="22.5" customHeight="1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4"/>
        <v>0</v>
      </c>
      <c r="M57" s="34">
        <f t="shared" si="5"/>
        <v>0</v>
      </c>
      <c r="N57" s="63">
        <f t="shared" si="5"/>
        <v>0</v>
      </c>
      <c r="O57" s="64">
        <v>0</v>
      </c>
      <c r="P57" s="65">
        <v>0</v>
      </c>
      <c r="Q57" s="1"/>
      <c r="R57" s="37">
        <f>L59+L60+L61+L62+L63</f>
        <v>845209.3500000001</v>
      </c>
    </row>
    <row r="58" spans="1:18" ht="35.2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14253.16</v>
      </c>
      <c r="K58" s="33">
        <f>0+J58</f>
        <v>14253.16</v>
      </c>
      <c r="L58" s="33">
        <f>0+K58</f>
        <v>14253.16</v>
      </c>
      <c r="M58" s="34">
        <f t="shared" si="5"/>
        <v>-14253.16</v>
      </c>
      <c r="N58" s="63">
        <f t="shared" si="5"/>
        <v>-14253.16</v>
      </c>
      <c r="O58" s="64">
        <v>0</v>
      </c>
      <c r="P58" s="65">
        <v>0</v>
      </c>
      <c r="Q58" s="1"/>
      <c r="R58" s="37">
        <f>F59+F60+F62+F63</f>
        <v>976500</v>
      </c>
    </row>
    <row r="59" spans="1:18" ht="27.75" customHeight="1" thickBot="1">
      <c r="A59" s="60" t="s">
        <v>91</v>
      </c>
      <c r="B59" s="396" t="s">
        <v>92</v>
      </c>
      <c r="C59" s="397"/>
      <c r="D59" s="398"/>
      <c r="E59" s="156">
        <v>65000</v>
      </c>
      <c r="F59" s="31">
        <f>148000+E59</f>
        <v>213000</v>
      </c>
      <c r="G59" s="74"/>
      <c r="H59" s="74">
        <v>56219.6</v>
      </c>
      <c r="I59" s="74"/>
      <c r="J59" s="33">
        <v>5401.75</v>
      </c>
      <c r="K59" s="33">
        <f>J59+G59+H59</f>
        <v>61621.35</v>
      </c>
      <c r="L59" s="33">
        <f>21759.2+K59</f>
        <v>83380.55</v>
      </c>
      <c r="M59" s="34">
        <f t="shared" si="5"/>
        <v>3378.6500000000015</v>
      </c>
      <c r="N59" s="35">
        <f t="shared" si="5"/>
        <v>129619.45</v>
      </c>
      <c r="O59" s="64">
        <v>0</v>
      </c>
      <c r="P59" s="65">
        <v>0</v>
      </c>
      <c r="Q59" s="1"/>
      <c r="R59" s="80"/>
    </row>
    <row r="60" spans="1:18" ht="22.5" customHeight="1" thickBot="1">
      <c r="A60" s="60" t="s">
        <v>93</v>
      </c>
      <c r="B60" s="325" t="s">
        <v>94</v>
      </c>
      <c r="C60" s="326"/>
      <c r="D60" s="326"/>
      <c r="E60" s="156">
        <v>210000</v>
      </c>
      <c r="F60" s="31">
        <f>500000+E60</f>
        <v>710000</v>
      </c>
      <c r="G60" s="74"/>
      <c r="H60" s="74">
        <v>496991.85</v>
      </c>
      <c r="I60" s="74"/>
      <c r="J60" s="33"/>
      <c r="K60" s="33">
        <f>0+G60+H60</f>
        <v>496991.85</v>
      </c>
      <c r="L60" s="33">
        <f>231422.86+K60</f>
        <v>728414.71</v>
      </c>
      <c r="M60" s="34">
        <f t="shared" si="5"/>
        <v>-286991.85</v>
      </c>
      <c r="N60" s="63">
        <f t="shared" si="5"/>
        <v>-18414.709999999963</v>
      </c>
      <c r="O60" s="64">
        <v>0</v>
      </c>
      <c r="P60" s="65">
        <v>0</v>
      </c>
      <c r="Q60" s="1"/>
      <c r="R60" s="37"/>
    </row>
    <row r="61" spans="1:18" ht="18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0+G61</f>
        <v>0</v>
      </c>
      <c r="L61" s="33">
        <f>0+K61</f>
        <v>0</v>
      </c>
      <c r="M61" s="34">
        <f t="shared" si="5"/>
        <v>0</v>
      </c>
      <c r="N61" s="63">
        <f t="shared" si="5"/>
        <v>0</v>
      </c>
      <c r="O61" s="64">
        <v>0</v>
      </c>
      <c r="P61" s="65">
        <v>0</v>
      </c>
      <c r="Q61" s="1"/>
      <c r="R61" s="1"/>
    </row>
    <row r="62" spans="1:18" ht="22.5" customHeight="1" thickBot="1">
      <c r="A62" s="60" t="s">
        <v>96</v>
      </c>
      <c r="B62" s="325" t="s">
        <v>97</v>
      </c>
      <c r="C62" s="326"/>
      <c r="D62" s="327"/>
      <c r="E62" s="156">
        <v>9600</v>
      </c>
      <c r="F62" s="31">
        <f>18600+E62</f>
        <v>28200</v>
      </c>
      <c r="G62" s="83"/>
      <c r="H62" s="74">
        <v>7407.24</v>
      </c>
      <c r="I62" s="74"/>
      <c r="J62" s="74">
        <v>4728.02</v>
      </c>
      <c r="K62" s="33">
        <f>0+J62+G62+H62</f>
        <v>12135.26</v>
      </c>
      <c r="L62" s="33">
        <f>5713.03+K62</f>
        <v>17848.29</v>
      </c>
      <c r="M62" s="34">
        <f t="shared" si="5"/>
        <v>-2535.26</v>
      </c>
      <c r="N62" s="63">
        <f t="shared" si="5"/>
        <v>10351.71</v>
      </c>
      <c r="O62" s="64">
        <v>0</v>
      </c>
      <c r="P62" s="65">
        <v>0</v>
      </c>
      <c r="Q62" s="1"/>
      <c r="R62" s="1"/>
    </row>
    <row r="63" spans="1:18" ht="33.75" customHeight="1" thickBot="1">
      <c r="A63" s="60" t="s">
        <v>98</v>
      </c>
      <c r="B63" s="325" t="s">
        <v>99</v>
      </c>
      <c r="C63" s="326"/>
      <c r="D63" s="327"/>
      <c r="E63" s="156">
        <v>8600</v>
      </c>
      <c r="F63" s="31">
        <f>16700+E63</f>
        <v>25300</v>
      </c>
      <c r="G63" s="85"/>
      <c r="H63" s="74">
        <v>6459.98</v>
      </c>
      <c r="I63" s="74"/>
      <c r="J63" s="74">
        <v>4123.39</v>
      </c>
      <c r="K63" s="33">
        <f>0+J63+G63+H63</f>
        <v>10583.369999999999</v>
      </c>
      <c r="L63" s="33">
        <f>4982.43+K63</f>
        <v>15565.8</v>
      </c>
      <c r="M63" s="34">
        <f t="shared" si="5"/>
        <v>-1983.369999999999</v>
      </c>
      <c r="N63" s="35">
        <f t="shared" si="5"/>
        <v>9734.2</v>
      </c>
      <c r="O63" s="64">
        <v>0</v>
      </c>
      <c r="P63" s="65">
        <v>0</v>
      </c>
      <c r="Q63" s="1"/>
      <c r="R63" s="1"/>
    </row>
    <row r="64" spans="1:18" ht="32.25" customHeight="1" thickBot="1">
      <c r="A64" s="86" t="s">
        <v>100</v>
      </c>
      <c r="B64" s="382" t="s">
        <v>101</v>
      </c>
      <c r="C64" s="383"/>
      <c r="D64" s="384"/>
      <c r="E64" s="53">
        <f>E65</f>
        <v>0</v>
      </c>
      <c r="F64" s="73">
        <f>F65+F66</f>
        <v>200000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6700</v>
      </c>
      <c r="M64" s="56">
        <f t="shared" si="5"/>
        <v>0</v>
      </c>
      <c r="N64" s="70">
        <f t="shared" si="5"/>
        <v>193300</v>
      </c>
      <c r="O64" s="58">
        <v>0</v>
      </c>
      <c r="P64" s="59">
        <v>0</v>
      </c>
      <c r="Q64" s="1"/>
      <c r="R64" s="1"/>
    </row>
    <row r="65" spans="1:18" ht="21" customHeight="1" thickBot="1">
      <c r="A65" s="60" t="s">
        <v>102</v>
      </c>
      <c r="B65" s="391" t="s">
        <v>53</v>
      </c>
      <c r="C65" s="392"/>
      <c r="D65" s="466"/>
      <c r="E65" s="45"/>
      <c r="F65" s="31">
        <f>200000+E65</f>
        <v>200000</v>
      </c>
      <c r="G65" s="74"/>
      <c r="H65" s="33"/>
      <c r="I65" s="33"/>
      <c r="J65" s="33"/>
      <c r="K65" s="33">
        <f>0+G65</f>
        <v>0</v>
      </c>
      <c r="L65" s="33">
        <f>6700+K65</f>
        <v>6700</v>
      </c>
      <c r="M65" s="34">
        <f t="shared" si="5"/>
        <v>0</v>
      </c>
      <c r="N65" s="35">
        <f t="shared" si="5"/>
        <v>193300</v>
      </c>
      <c r="O65" s="64">
        <v>0</v>
      </c>
      <c r="P65" s="65">
        <v>0</v>
      </c>
      <c r="Q65" s="1"/>
      <c r="R65" s="1"/>
    </row>
    <row r="66" spans="1:18" ht="24.75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5"/>
        <v>0</v>
      </c>
      <c r="N66" s="35">
        <f t="shared" si="5"/>
        <v>0</v>
      </c>
      <c r="O66" s="64">
        <v>0</v>
      </c>
      <c r="P66" s="65">
        <v>0</v>
      </c>
      <c r="Q66" s="1"/>
      <c r="R66" s="1"/>
    </row>
    <row r="67" spans="1:18" ht="33.7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100000</v>
      </c>
      <c r="G67" s="75">
        <f>G68+G69</f>
        <v>0</v>
      </c>
      <c r="H67" s="55"/>
      <c r="I67" s="55">
        <f>I69</f>
        <v>0</v>
      </c>
      <c r="J67" s="55"/>
      <c r="K67" s="55">
        <f>K68+K69+K70</f>
        <v>0</v>
      </c>
      <c r="L67" s="55">
        <f>25730+K67</f>
        <v>25730</v>
      </c>
      <c r="M67" s="56">
        <f t="shared" si="5"/>
        <v>0</v>
      </c>
      <c r="N67" s="70">
        <f t="shared" si="5"/>
        <v>74270</v>
      </c>
      <c r="O67" s="58">
        <v>0</v>
      </c>
      <c r="P67" s="59">
        <v>0</v>
      </c>
      <c r="Q67" s="1"/>
      <c r="R67" s="37"/>
    </row>
    <row r="68" spans="1:18" ht="30" customHeight="1" thickBot="1">
      <c r="A68" s="60" t="s">
        <v>107</v>
      </c>
      <c r="B68" s="319" t="s">
        <v>53</v>
      </c>
      <c r="C68" s="320"/>
      <c r="D68" s="321"/>
      <c r="E68" s="61"/>
      <c r="F68" s="31">
        <f>100000+E68</f>
        <v>100000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0</v>
      </c>
      <c r="N68" s="35">
        <f t="shared" si="5"/>
        <v>99000</v>
      </c>
      <c r="O68" s="64">
        <v>0</v>
      </c>
      <c r="P68" s="65">
        <v>0</v>
      </c>
      <c r="Q68" s="1"/>
      <c r="R68" s="37"/>
    </row>
    <row r="69" spans="1:18" ht="25.5" customHeight="1" thickBot="1">
      <c r="A69" s="60" t="s">
        <v>108</v>
      </c>
      <c r="B69" s="391" t="s">
        <v>104</v>
      </c>
      <c r="C69" s="392"/>
      <c r="D69" s="466"/>
      <c r="E69" s="61"/>
      <c r="F69" s="31"/>
      <c r="G69" s="74"/>
      <c r="H69" s="33"/>
      <c r="I69" s="33"/>
      <c r="J69" s="33"/>
      <c r="K69" s="33">
        <f>I69</f>
        <v>0</v>
      </c>
      <c r="L69" s="33">
        <f>24730+K69</f>
        <v>24730</v>
      </c>
      <c r="M69" s="34">
        <f t="shared" si="5"/>
        <v>0</v>
      </c>
      <c r="N69" s="35">
        <f t="shared" si="5"/>
        <v>-24730</v>
      </c>
      <c r="O69" s="64">
        <v>0</v>
      </c>
      <c r="P69" s="65">
        <v>0</v>
      </c>
      <c r="Q69" s="1"/>
      <c r="R69" s="37"/>
    </row>
    <row r="70" spans="1:18" ht="28.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5"/>
        <v>0</v>
      </c>
      <c r="N70" s="35">
        <f t="shared" si="5"/>
        <v>0</v>
      </c>
      <c r="O70" s="64">
        <v>0</v>
      </c>
      <c r="P70" s="65">
        <v>0</v>
      </c>
      <c r="Q70" s="1"/>
      <c r="R70" s="37"/>
    </row>
    <row r="71" spans="1:18" ht="23.25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9000</v>
      </c>
      <c r="G71" s="75">
        <f>G72+G73</f>
        <v>38441</v>
      </c>
      <c r="H71" s="55"/>
      <c r="I71" s="55"/>
      <c r="J71" s="55"/>
      <c r="K71" s="55">
        <f>G71</f>
        <v>38441</v>
      </c>
      <c r="L71" s="55">
        <f>L72</f>
        <v>38441</v>
      </c>
      <c r="M71" s="56">
        <f t="shared" si="5"/>
        <v>-35441</v>
      </c>
      <c r="N71" s="70">
        <f t="shared" si="5"/>
        <v>-29441</v>
      </c>
      <c r="O71" s="58">
        <v>0</v>
      </c>
      <c r="P71" s="59">
        <v>0</v>
      </c>
      <c r="Q71" s="1"/>
      <c r="R71" s="1"/>
    </row>
    <row r="72" spans="1:18" ht="29.25" customHeight="1" thickBot="1">
      <c r="A72" s="60" t="s">
        <v>107</v>
      </c>
      <c r="B72" s="301" t="s">
        <v>53</v>
      </c>
      <c r="C72" s="302"/>
      <c r="D72" s="303"/>
      <c r="E72" s="155">
        <v>3000</v>
      </c>
      <c r="F72" s="31">
        <f>6000+E72</f>
        <v>9000</v>
      </c>
      <c r="G72" s="74">
        <v>38441</v>
      </c>
      <c r="H72" s="33"/>
      <c r="I72" s="33"/>
      <c r="J72" s="33"/>
      <c r="K72" s="33">
        <f>G72</f>
        <v>38441</v>
      </c>
      <c r="L72" s="33">
        <f>0+K72</f>
        <v>38441</v>
      </c>
      <c r="M72" s="34">
        <f aca="true" t="shared" si="6" ref="M72:N82">E72-K72</f>
        <v>-35441</v>
      </c>
      <c r="N72" s="35">
        <f t="shared" si="6"/>
        <v>-29441</v>
      </c>
      <c r="O72" s="64">
        <v>0</v>
      </c>
      <c r="P72" s="65">
        <v>0</v>
      </c>
      <c r="Q72" s="1"/>
      <c r="R72" s="1"/>
    </row>
    <row r="73" spans="1:18" ht="30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6"/>
        <v>0</v>
      </c>
      <c r="N73" s="35">
        <f t="shared" si="6"/>
        <v>0</v>
      </c>
      <c r="O73" s="64">
        <v>0</v>
      </c>
      <c r="P73" s="65">
        <v>0</v>
      </c>
      <c r="Q73" s="1"/>
      <c r="R73" s="1"/>
    </row>
    <row r="74" spans="1:18" ht="42.75" customHeight="1" thickBot="1">
      <c r="A74" s="87" t="s">
        <v>112</v>
      </c>
      <c r="B74" s="379" t="s">
        <v>113</v>
      </c>
      <c r="C74" s="380"/>
      <c r="D74" s="381"/>
      <c r="E74" s="53">
        <f>E75</f>
        <v>20000</v>
      </c>
      <c r="F74" s="73">
        <f>F75+F76</f>
        <v>92000</v>
      </c>
      <c r="G74" s="75">
        <f>G75+G76+G77</f>
        <v>12865</v>
      </c>
      <c r="H74" s="55"/>
      <c r="I74" s="55">
        <f>I75+I76</f>
        <v>0</v>
      </c>
      <c r="J74" s="55"/>
      <c r="K74" s="55">
        <f>K75+K76+K77</f>
        <v>12865</v>
      </c>
      <c r="L74" s="55">
        <f>L75+L76+L77</f>
        <v>17577</v>
      </c>
      <c r="M74" s="56">
        <f t="shared" si="6"/>
        <v>7135</v>
      </c>
      <c r="N74" s="70">
        <f t="shared" si="6"/>
        <v>74423</v>
      </c>
      <c r="O74" s="58">
        <v>0</v>
      </c>
      <c r="P74" s="59">
        <v>0</v>
      </c>
      <c r="Q74" s="1"/>
      <c r="R74" s="1"/>
    </row>
    <row r="75" spans="1:18" ht="27" customHeight="1" thickBot="1">
      <c r="A75" s="60" t="s">
        <v>114</v>
      </c>
      <c r="B75" s="301" t="s">
        <v>53</v>
      </c>
      <c r="C75" s="302"/>
      <c r="D75" s="303"/>
      <c r="E75" s="155">
        <v>20000</v>
      </c>
      <c r="F75" s="31">
        <f>72000+E75</f>
        <v>92000</v>
      </c>
      <c r="G75" s="74">
        <v>12865</v>
      </c>
      <c r="H75" s="33"/>
      <c r="I75" s="33"/>
      <c r="J75" s="33"/>
      <c r="K75" s="33">
        <f>G75</f>
        <v>12865</v>
      </c>
      <c r="L75" s="33">
        <f>1712+K75</f>
        <v>14577</v>
      </c>
      <c r="M75" s="34">
        <f>E75-K75</f>
        <v>7135</v>
      </c>
      <c r="N75" s="35">
        <f t="shared" si="6"/>
        <v>77423</v>
      </c>
      <c r="O75" s="64">
        <v>0</v>
      </c>
      <c r="P75" s="65">
        <v>0</v>
      </c>
      <c r="Q75" s="1"/>
      <c r="R75" s="1"/>
    </row>
    <row r="76" spans="1:18" ht="16.5" customHeight="1" thickBot="1">
      <c r="A76" s="60" t="s">
        <v>115</v>
      </c>
      <c r="B76" s="391" t="s">
        <v>104</v>
      </c>
      <c r="C76" s="392"/>
      <c r="D76" s="466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6"/>
        <v>0</v>
      </c>
      <c r="N76" s="35">
        <f t="shared" si="6"/>
        <v>-3000</v>
      </c>
      <c r="O76" s="64">
        <v>0</v>
      </c>
      <c r="P76" s="65">
        <v>0</v>
      </c>
      <c r="Q76" s="1"/>
      <c r="R76" s="1"/>
    </row>
    <row r="77" spans="1:18" ht="20.25" customHeight="1" thickBot="1">
      <c r="A77" s="60" t="s">
        <v>116</v>
      </c>
      <c r="B77" s="467" t="s">
        <v>221</v>
      </c>
      <c r="C77" s="468"/>
      <c r="D77" s="469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6"/>
        <v>0</v>
      </c>
      <c r="N77" s="35">
        <f t="shared" si="6"/>
        <v>0</v>
      </c>
      <c r="O77" s="64">
        <v>0</v>
      </c>
      <c r="P77" s="65">
        <v>0</v>
      </c>
      <c r="Q77" s="1"/>
      <c r="R77" s="1"/>
    </row>
    <row r="78" spans="1:18" ht="42.7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1500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6"/>
        <v>0</v>
      </c>
      <c r="N78" s="70">
        <f t="shared" si="6"/>
        <v>1500</v>
      </c>
      <c r="O78" s="58">
        <v>0</v>
      </c>
      <c r="P78" s="59">
        <v>0</v>
      </c>
      <c r="Q78" s="1"/>
      <c r="R78" s="1"/>
    </row>
    <row r="79" spans="1:18" ht="27" customHeight="1" thickBot="1">
      <c r="A79" s="60" t="s">
        <v>119</v>
      </c>
      <c r="B79" s="301" t="s">
        <v>53</v>
      </c>
      <c r="C79" s="302"/>
      <c r="D79" s="303"/>
      <c r="E79" s="81"/>
      <c r="F79" s="31">
        <f>1500+E79</f>
        <v>1500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6"/>
        <v>1500</v>
      </c>
      <c r="O79" s="64">
        <v>0</v>
      </c>
      <c r="P79" s="65">
        <v>0</v>
      </c>
      <c r="Q79" s="1"/>
      <c r="R79" s="1"/>
    </row>
    <row r="80" spans="1:18" ht="19.5" customHeight="1" thickBot="1">
      <c r="A80" s="69" t="s">
        <v>120</v>
      </c>
      <c r="B80" s="357" t="s">
        <v>121</v>
      </c>
      <c r="C80" s="358"/>
      <c r="D80" s="359"/>
      <c r="E80" s="53">
        <f>E81</f>
        <v>18500</v>
      </c>
      <c r="F80" s="73">
        <f>F81</f>
        <v>18500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6"/>
        <v>18500</v>
      </c>
      <c r="N80" s="70">
        <f t="shared" si="6"/>
        <v>18500</v>
      </c>
      <c r="O80" s="58">
        <v>0</v>
      </c>
      <c r="P80" s="59">
        <v>0</v>
      </c>
      <c r="Q80" s="1"/>
      <c r="R80" s="1"/>
    </row>
    <row r="81" spans="1:18" ht="18" customHeight="1" thickBot="1">
      <c r="A81" s="60" t="s">
        <v>122</v>
      </c>
      <c r="B81" s="391" t="s">
        <v>53</v>
      </c>
      <c r="C81" s="392"/>
      <c r="D81" s="466"/>
      <c r="E81" s="208">
        <v>18500</v>
      </c>
      <c r="F81" s="31">
        <f>0+E81</f>
        <v>18500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6"/>
        <v>18500</v>
      </c>
      <c r="N81" s="35">
        <f t="shared" si="6"/>
        <v>18500</v>
      </c>
      <c r="O81" s="64">
        <v>0</v>
      </c>
      <c r="P81" s="65">
        <v>0</v>
      </c>
      <c r="Q81" s="1"/>
      <c r="R81" s="1"/>
    </row>
    <row r="82" spans="1:18" ht="19.5" customHeight="1" thickBot="1">
      <c r="A82" s="60" t="s">
        <v>123</v>
      </c>
      <c r="B82" s="391" t="s">
        <v>55</v>
      </c>
      <c r="C82" s="392"/>
      <c r="D82" s="466"/>
      <c r="E82" s="81"/>
      <c r="F82" s="33"/>
      <c r="G82" s="74"/>
      <c r="H82" s="92"/>
      <c r="I82" s="33"/>
      <c r="J82" s="92"/>
      <c r="K82" s="33">
        <f>0+J82</f>
        <v>0</v>
      </c>
      <c r="L82" s="33"/>
      <c r="M82" s="34">
        <f>E82-K82</f>
        <v>0</v>
      </c>
      <c r="N82" s="35">
        <f t="shared" si="6"/>
        <v>0</v>
      </c>
      <c r="O82" s="64">
        <v>0</v>
      </c>
      <c r="P82" s="65">
        <v>0</v>
      </c>
      <c r="Q82" s="1"/>
      <c r="R82" s="1"/>
    </row>
    <row r="83" spans="1:18" ht="15.75" thickBot="1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2.25" customHeight="1" hidden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customHeight="1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57.75" customHeight="1" thickBot="1">
      <c r="A86" s="361"/>
      <c r="B86" s="371"/>
      <c r="C86" s="372"/>
      <c r="D86" s="373"/>
      <c r="E86" s="375"/>
      <c r="F86" s="377"/>
      <c r="G86" s="202" t="s">
        <v>45</v>
      </c>
      <c r="H86" s="202" t="s">
        <v>46</v>
      </c>
      <c r="I86" s="202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202">
        <v>3</v>
      </c>
      <c r="G87" s="202">
        <v>4</v>
      </c>
      <c r="H87" s="202">
        <v>5</v>
      </c>
      <c r="I87" s="7">
        <v>6</v>
      </c>
      <c r="J87" s="7">
        <v>7</v>
      </c>
      <c r="K87" s="48">
        <v>8</v>
      </c>
      <c r="L87" s="199">
        <v>9</v>
      </c>
      <c r="M87" s="7">
        <v>10</v>
      </c>
      <c r="N87" s="199">
        <v>11</v>
      </c>
      <c r="O87" s="7">
        <v>12</v>
      </c>
      <c r="P87" s="199">
        <v>13</v>
      </c>
      <c r="Q87" s="1"/>
      <c r="R87" s="1"/>
    </row>
    <row r="88" spans="1:18" ht="45.75" customHeight="1" thickBot="1">
      <c r="A88" s="51" t="s">
        <v>125</v>
      </c>
      <c r="B88" s="357" t="s">
        <v>126</v>
      </c>
      <c r="C88" s="358"/>
      <c r="D88" s="359"/>
      <c r="E88" s="53">
        <f>E89</f>
        <v>29450</v>
      </c>
      <c r="F88" s="73">
        <f>F89+F90+F91+F92</f>
        <v>95350</v>
      </c>
      <c r="G88" s="53">
        <f>G89+G90+G91+G92</f>
        <v>35336.17</v>
      </c>
      <c r="H88" s="55">
        <f>H90</f>
        <v>0</v>
      </c>
      <c r="I88" s="55">
        <f>I91</f>
        <v>0</v>
      </c>
      <c r="J88" s="55">
        <f>J92</f>
        <v>60</v>
      </c>
      <c r="K88" s="93">
        <f>K89+K90+K91+K92</f>
        <v>35336.17</v>
      </c>
      <c r="L88" s="55">
        <f>L89+L90+L91+L92</f>
        <v>71303.29999999999</v>
      </c>
      <c r="M88" s="56">
        <f aca="true" t="shared" si="7" ref="M88:N103">E88-K88</f>
        <v>-5886.169999999998</v>
      </c>
      <c r="N88" s="70">
        <f t="shared" si="7"/>
        <v>24046.70000000001</v>
      </c>
      <c r="O88" s="58">
        <v>0</v>
      </c>
      <c r="P88" s="59">
        <v>0</v>
      </c>
      <c r="Q88" s="37"/>
      <c r="R88" s="1"/>
    </row>
    <row r="89" spans="1:18" ht="25.5" customHeight="1" thickBot="1">
      <c r="A89" s="60" t="s">
        <v>127</v>
      </c>
      <c r="B89" s="301" t="s">
        <v>53</v>
      </c>
      <c r="C89" s="302"/>
      <c r="D89" s="303"/>
      <c r="E89" s="155">
        <f>E93+E94+E96+E97+E98+E100+E99+E95</f>
        <v>29450</v>
      </c>
      <c r="F89" s="31">
        <f>65900+E89</f>
        <v>95350</v>
      </c>
      <c r="G89" s="45">
        <f>G93+G94+G96+G97+G98+G99+G100</f>
        <v>35336.17</v>
      </c>
      <c r="H89" s="33"/>
      <c r="I89" s="33"/>
      <c r="J89" s="33"/>
      <c r="K89" s="94">
        <f>G89</f>
        <v>35336.17</v>
      </c>
      <c r="L89" s="33">
        <f>L93+L94+L96+L97+L98+L99+L100+L95-L92-L91</f>
        <v>71165.15</v>
      </c>
      <c r="M89" s="34">
        <f t="shared" si="7"/>
        <v>-5886.169999999998</v>
      </c>
      <c r="N89" s="35">
        <f t="shared" si="7"/>
        <v>24184.850000000006</v>
      </c>
      <c r="O89" s="64">
        <v>0</v>
      </c>
      <c r="P89" s="65">
        <v>0</v>
      </c>
      <c r="Q89" s="37"/>
      <c r="R89" s="1"/>
    </row>
    <row r="90" spans="1:18" ht="18" customHeight="1" thickBot="1">
      <c r="A90" s="60" t="s">
        <v>128</v>
      </c>
      <c r="B90" s="351" t="s">
        <v>51</v>
      </c>
      <c r="C90" s="352"/>
      <c r="D90" s="353"/>
      <c r="E90" s="61"/>
      <c r="F90" s="31"/>
      <c r="G90" s="45"/>
      <c r="H90" s="33"/>
      <c r="I90" s="33"/>
      <c r="J90" s="33"/>
      <c r="K90" s="94">
        <f aca="true" t="shared" si="8" ref="K90:K99">G90</f>
        <v>0</v>
      </c>
      <c r="L90" s="33"/>
      <c r="M90" s="34">
        <f t="shared" si="7"/>
        <v>0</v>
      </c>
      <c r="N90" s="35">
        <f t="shared" si="7"/>
        <v>0</v>
      </c>
      <c r="O90" s="64">
        <v>0</v>
      </c>
      <c r="P90" s="65">
        <v>0</v>
      </c>
      <c r="Q90" s="37"/>
      <c r="R90" s="1"/>
    </row>
    <row r="91" spans="1:18" ht="27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59.4+K91</f>
        <v>59.4</v>
      </c>
      <c r="M91" s="34">
        <f t="shared" si="7"/>
        <v>0</v>
      </c>
      <c r="N91" s="35">
        <f t="shared" si="7"/>
        <v>-59.4</v>
      </c>
      <c r="O91" s="64">
        <v>0</v>
      </c>
      <c r="P91" s="65">
        <v>0</v>
      </c>
      <c r="Q91" s="37"/>
      <c r="R91" s="1"/>
    </row>
    <row r="92" spans="1:18" ht="25.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60</v>
      </c>
      <c r="K92" s="94">
        <f t="shared" si="8"/>
        <v>0</v>
      </c>
      <c r="L92" s="33">
        <f>78.75+K92</f>
        <v>78.75</v>
      </c>
      <c r="M92" s="34">
        <f t="shared" si="7"/>
        <v>0</v>
      </c>
      <c r="N92" s="35">
        <f t="shared" si="7"/>
        <v>-78.75</v>
      </c>
      <c r="O92" s="64">
        <v>0</v>
      </c>
      <c r="P92" s="65">
        <v>0</v>
      </c>
      <c r="Q92" s="37"/>
      <c r="R92" s="80">
        <f>L93+L94+L95+L96+L97+L98+L99+L100</f>
        <v>71303.29999999999</v>
      </c>
    </row>
    <row r="93" spans="1:18" ht="20.25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6300+E93</f>
        <v>9450</v>
      </c>
      <c r="G93" s="45">
        <v>3000</v>
      </c>
      <c r="H93" s="74"/>
      <c r="I93" s="74"/>
      <c r="J93" s="74"/>
      <c r="K93" s="94">
        <f t="shared" si="8"/>
        <v>3000</v>
      </c>
      <c r="L93" s="33">
        <f>6000+K93</f>
        <v>9000</v>
      </c>
      <c r="M93" s="34">
        <f t="shared" si="7"/>
        <v>150</v>
      </c>
      <c r="N93" s="35">
        <f t="shared" si="7"/>
        <v>450</v>
      </c>
      <c r="O93" s="64">
        <v>0</v>
      </c>
      <c r="P93" s="65">
        <v>0</v>
      </c>
      <c r="Q93" s="1"/>
      <c r="R93" s="37">
        <f>L89+L90+L91+L92</f>
        <v>71303.29999999999</v>
      </c>
    </row>
    <row r="94" spans="1:18" ht="31.5" customHeight="1" thickBot="1">
      <c r="A94" s="60" t="s">
        <v>133</v>
      </c>
      <c r="B94" s="322" t="s">
        <v>134</v>
      </c>
      <c r="C94" s="323"/>
      <c r="D94" s="324"/>
      <c r="E94" s="156">
        <v>4800</v>
      </c>
      <c r="F94" s="31">
        <f>9600+E94</f>
        <v>14400</v>
      </c>
      <c r="G94" s="45">
        <v>1500</v>
      </c>
      <c r="H94" s="74"/>
      <c r="I94" s="74"/>
      <c r="J94" s="74"/>
      <c r="K94" s="94">
        <f>G94</f>
        <v>1500</v>
      </c>
      <c r="L94" s="33">
        <f>6450+K94</f>
        <v>7950</v>
      </c>
      <c r="M94" s="34">
        <f t="shared" si="7"/>
        <v>3300</v>
      </c>
      <c r="N94" s="35">
        <f t="shared" si="7"/>
        <v>6450</v>
      </c>
      <c r="O94" s="64">
        <v>0</v>
      </c>
      <c r="P94" s="65">
        <v>0</v>
      </c>
      <c r="Q94" s="1"/>
      <c r="R94" s="1"/>
    </row>
    <row r="95" spans="1:18" ht="31.5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 t="shared" si="8"/>
        <v>0</v>
      </c>
      <c r="L95" s="33">
        <f>0+K95</f>
        <v>0</v>
      </c>
      <c r="M95" s="34">
        <f t="shared" si="7"/>
        <v>0</v>
      </c>
      <c r="N95" s="35">
        <f t="shared" si="7"/>
        <v>0</v>
      </c>
      <c r="O95" s="64">
        <v>0</v>
      </c>
      <c r="P95" s="65">
        <v>0</v>
      </c>
      <c r="Q95" s="1"/>
      <c r="R95" s="207">
        <f>SUM(F93:F100)</f>
        <v>95350</v>
      </c>
    </row>
    <row r="96" spans="1:18" ht="31.5" customHeight="1" thickBot="1">
      <c r="A96" s="60" t="s">
        <v>137</v>
      </c>
      <c r="B96" s="308" t="s">
        <v>138</v>
      </c>
      <c r="C96" s="309"/>
      <c r="D96" s="310"/>
      <c r="E96" s="152">
        <v>1300</v>
      </c>
      <c r="F96" s="192">
        <f>2600+E96</f>
        <v>3900</v>
      </c>
      <c r="G96" s="193"/>
      <c r="H96" s="74"/>
      <c r="I96" s="74"/>
      <c r="J96" s="74"/>
      <c r="K96" s="94">
        <f t="shared" si="8"/>
        <v>0</v>
      </c>
      <c r="L96" s="33">
        <f>2720+K96</f>
        <v>2720</v>
      </c>
      <c r="M96" s="34">
        <f t="shared" si="7"/>
        <v>1300</v>
      </c>
      <c r="N96" s="35">
        <f t="shared" si="7"/>
        <v>1180</v>
      </c>
      <c r="O96" s="64">
        <v>0</v>
      </c>
      <c r="P96" s="65">
        <v>0</v>
      </c>
      <c r="Q96" s="1"/>
      <c r="R96" s="1"/>
    </row>
    <row r="97" spans="1:18" ht="23.25" customHeight="1" thickBot="1">
      <c r="A97" s="60" t="s">
        <v>139</v>
      </c>
      <c r="B97" s="308" t="s">
        <v>140</v>
      </c>
      <c r="C97" s="309"/>
      <c r="D97" s="310"/>
      <c r="E97" s="152">
        <v>7000</v>
      </c>
      <c r="F97" s="31">
        <f>14000+E97</f>
        <v>21000</v>
      </c>
      <c r="G97" s="45">
        <v>6181.44</v>
      </c>
      <c r="H97" s="74"/>
      <c r="I97" s="74"/>
      <c r="J97" s="74">
        <v>60</v>
      </c>
      <c r="K97" s="94">
        <f>G97+I97+J97</f>
        <v>6241.44</v>
      </c>
      <c r="L97" s="33">
        <f>9378.4+K97</f>
        <v>15619.84</v>
      </c>
      <c r="M97" s="34">
        <f t="shared" si="7"/>
        <v>758.5600000000004</v>
      </c>
      <c r="N97" s="35">
        <f t="shared" si="7"/>
        <v>5380.16</v>
      </c>
      <c r="O97" s="64">
        <v>0</v>
      </c>
      <c r="P97" s="65">
        <v>0</v>
      </c>
      <c r="Q97" s="1"/>
      <c r="R97" s="71">
        <f>F93+F94+F95+F96+F97+F98+F99+F100</f>
        <v>95350</v>
      </c>
    </row>
    <row r="98" spans="1:16" ht="22.5" customHeight="1" thickBot="1">
      <c r="A98" s="60" t="s">
        <v>141</v>
      </c>
      <c r="B98" s="463" t="s">
        <v>142</v>
      </c>
      <c r="C98" s="464"/>
      <c r="D98" s="465"/>
      <c r="E98" s="152">
        <v>3300</v>
      </c>
      <c r="F98" s="31">
        <f>6600+E98</f>
        <v>9900</v>
      </c>
      <c r="G98" s="45">
        <v>1750</v>
      </c>
      <c r="H98" s="74"/>
      <c r="I98" s="74"/>
      <c r="J98" s="74"/>
      <c r="K98" s="94">
        <f t="shared" si="8"/>
        <v>1750</v>
      </c>
      <c r="L98" s="33">
        <f>0+K98</f>
        <v>1750</v>
      </c>
      <c r="M98" s="34">
        <f t="shared" si="7"/>
        <v>1550</v>
      </c>
      <c r="N98" s="35">
        <f t="shared" si="7"/>
        <v>8150</v>
      </c>
      <c r="O98" s="64">
        <v>0</v>
      </c>
      <c r="P98" s="65">
        <v>0</v>
      </c>
    </row>
    <row r="99" spans="1:16" ht="30" customHeight="1" thickBot="1">
      <c r="A99" s="60" t="s">
        <v>143</v>
      </c>
      <c r="B99" s="308" t="s">
        <v>144</v>
      </c>
      <c r="C99" s="309"/>
      <c r="D99" s="310"/>
      <c r="E99" s="152"/>
      <c r="F99" s="31">
        <f>7000+E99</f>
        <v>7000</v>
      </c>
      <c r="G99" s="45">
        <v>16546</v>
      </c>
      <c r="H99" s="74"/>
      <c r="I99" s="74"/>
      <c r="J99" s="74"/>
      <c r="K99" s="94">
        <f t="shared" si="8"/>
        <v>16546</v>
      </c>
      <c r="L99" s="33">
        <f>5000+K99</f>
        <v>21546</v>
      </c>
      <c r="M99" s="34">
        <f t="shared" si="7"/>
        <v>-16546</v>
      </c>
      <c r="N99" s="35">
        <f t="shared" si="7"/>
        <v>-14546</v>
      </c>
      <c r="O99" s="64">
        <v>0</v>
      </c>
      <c r="P99" s="65">
        <v>0</v>
      </c>
    </row>
    <row r="100" spans="1:16" ht="18.75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>19800+E100</f>
        <v>29700</v>
      </c>
      <c r="G100" s="45">
        <v>6358.73</v>
      </c>
      <c r="H100" s="74"/>
      <c r="I100" s="74"/>
      <c r="J100" s="74"/>
      <c r="K100" s="94">
        <f>G100</f>
        <v>6358.73</v>
      </c>
      <c r="L100" s="33">
        <f>6358.73+K100</f>
        <v>12717.46</v>
      </c>
      <c r="M100" s="34">
        <f t="shared" si="7"/>
        <v>3541.2700000000004</v>
      </c>
      <c r="N100" s="35">
        <f t="shared" si="7"/>
        <v>16982.54</v>
      </c>
      <c r="O100" s="64">
        <v>0</v>
      </c>
      <c r="P100" s="65">
        <v>0</v>
      </c>
    </row>
    <row r="101" spans="1:18" ht="37.5" customHeight="1" thickBot="1">
      <c r="A101" s="86" t="s">
        <v>147</v>
      </c>
      <c r="B101" s="354" t="s">
        <v>148</v>
      </c>
      <c r="C101" s="306"/>
      <c r="D101" s="307"/>
      <c r="E101" s="73">
        <f>E102+E103</f>
        <v>24600</v>
      </c>
      <c r="F101" s="73">
        <f>F102+F103+F104+F105</f>
        <v>381750</v>
      </c>
      <c r="G101" s="73">
        <f>G102+G104+G105</f>
        <v>161839.53</v>
      </c>
      <c r="H101" s="75">
        <f>H103</f>
        <v>0</v>
      </c>
      <c r="I101" s="55">
        <f>I104</f>
        <v>0</v>
      </c>
      <c r="J101" s="55">
        <f>J105</f>
        <v>399.52</v>
      </c>
      <c r="K101" s="73">
        <f>G101+H101+I101+J101</f>
        <v>162239.05</v>
      </c>
      <c r="L101" s="55">
        <f>L102+L103+L104+L105</f>
        <v>199616.28</v>
      </c>
      <c r="M101" s="56">
        <f t="shared" si="7"/>
        <v>-137639.05</v>
      </c>
      <c r="N101" s="70">
        <f t="shared" si="7"/>
        <v>182133.72</v>
      </c>
      <c r="O101" s="58">
        <v>0</v>
      </c>
      <c r="P101" s="59">
        <v>0</v>
      </c>
      <c r="R101" s="95">
        <f>L102+L104-L101</f>
        <v>-399.5199999999895</v>
      </c>
    </row>
    <row r="102" spans="1:18" ht="31.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E106+E107+E114+E119+E131+E113+E128+E115+E120+E132+E108</f>
        <v>24600</v>
      </c>
      <c r="F102" s="31">
        <f>357150+E102</f>
        <v>381750</v>
      </c>
      <c r="G102" s="74">
        <f>G106+G107+G108+G109+G110+G111+G112+G113+G114+G115+G116+G117+G118+G119+G126+G127+G128+G129+G130+G131+G120+G132</f>
        <v>161839.53</v>
      </c>
      <c r="H102" s="74"/>
      <c r="I102" s="33"/>
      <c r="J102" s="33"/>
      <c r="K102" s="94">
        <f>G102</f>
        <v>161839.53</v>
      </c>
      <c r="L102" s="33">
        <f>37377.23+K102</f>
        <v>199216.76</v>
      </c>
      <c r="M102" s="34">
        <f t="shared" si="7"/>
        <v>-137239.53</v>
      </c>
      <c r="N102" s="35">
        <f t="shared" si="7"/>
        <v>182533.24</v>
      </c>
      <c r="O102" s="64">
        <v>0</v>
      </c>
      <c r="P102" s="65">
        <v>0</v>
      </c>
      <c r="R102" s="95"/>
    </row>
    <row r="103" spans="1:18" ht="24" customHeight="1" thickBot="1">
      <c r="A103" s="60" t="s">
        <v>150</v>
      </c>
      <c r="B103" s="351" t="s">
        <v>51</v>
      </c>
      <c r="C103" s="352"/>
      <c r="D103" s="35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7"/>
        <v>0</v>
      </c>
      <c r="N103" s="35">
        <f t="shared" si="7"/>
        <v>0</v>
      </c>
      <c r="O103" s="64">
        <v>0</v>
      </c>
      <c r="P103" s="65">
        <v>0</v>
      </c>
      <c r="R103" s="96"/>
    </row>
    <row r="104" spans="1:16" ht="34.5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9" ref="M104:N120">E104-K104</f>
        <v>0</v>
      </c>
      <c r="N104" s="35">
        <f t="shared" si="9"/>
        <v>0</v>
      </c>
      <c r="O104" s="64">
        <v>0</v>
      </c>
      <c r="P104" s="65">
        <v>0</v>
      </c>
    </row>
    <row r="105" spans="1:18" ht="25.5" customHeight="1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>
        <f>J118</f>
        <v>399.52</v>
      </c>
      <c r="K105" s="94">
        <f>J105</f>
        <v>399.52</v>
      </c>
      <c r="L105" s="33">
        <f>0+K105</f>
        <v>399.52</v>
      </c>
      <c r="M105" s="34">
        <f t="shared" si="9"/>
        <v>-399.52</v>
      </c>
      <c r="N105" s="35">
        <f t="shared" si="9"/>
        <v>-399.52</v>
      </c>
      <c r="O105" s="64">
        <v>0</v>
      </c>
      <c r="P105" s="65">
        <v>0</v>
      </c>
      <c r="R105" s="95">
        <f>L106+L113+L114+L118+L119+L131</f>
        <v>35519.69</v>
      </c>
    </row>
    <row r="106" spans="1:16" ht="34.5" customHeight="1" thickBot="1">
      <c r="A106" s="60" t="s">
        <v>153</v>
      </c>
      <c r="B106" s="311" t="s">
        <v>154</v>
      </c>
      <c r="C106" s="312"/>
      <c r="D106" s="313"/>
      <c r="E106" s="31">
        <v>20000</v>
      </c>
      <c r="F106" s="31">
        <f>20000+E106</f>
        <v>40000</v>
      </c>
      <c r="G106" s="74">
        <v>1800</v>
      </c>
      <c r="H106" s="74"/>
      <c r="I106" s="74"/>
      <c r="J106" s="74"/>
      <c r="K106" s="94">
        <f aca="true" t="shared" si="10" ref="K106:K120">G106</f>
        <v>1800</v>
      </c>
      <c r="L106" s="33">
        <f>13300+K106</f>
        <v>15100</v>
      </c>
      <c r="M106" s="34">
        <f t="shared" si="9"/>
        <v>18200</v>
      </c>
      <c r="N106" s="35">
        <f t="shared" si="9"/>
        <v>24900</v>
      </c>
      <c r="O106" s="64">
        <v>0</v>
      </c>
      <c r="P106" s="65">
        <v>0</v>
      </c>
    </row>
    <row r="107" spans="1:16" ht="36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10"/>
        <v>0</v>
      </c>
      <c r="L107" s="33">
        <f>0+K107</f>
        <v>0</v>
      </c>
      <c r="M107" s="34">
        <f t="shared" si="9"/>
        <v>0</v>
      </c>
      <c r="N107" s="35">
        <f t="shared" si="9"/>
        <v>16200</v>
      </c>
      <c r="O107" s="64">
        <v>0</v>
      </c>
      <c r="P107" s="65">
        <v>0</v>
      </c>
    </row>
    <row r="108" spans="1:16" ht="33" customHeight="1" thickBot="1">
      <c r="A108" s="60" t="s">
        <v>157</v>
      </c>
      <c r="B108" s="348" t="s">
        <v>220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10"/>
        <v>0</v>
      </c>
      <c r="L108" s="33">
        <f>0+K108</f>
        <v>0</v>
      </c>
      <c r="M108" s="34">
        <f t="shared" si="9"/>
        <v>0</v>
      </c>
      <c r="N108" s="35">
        <f t="shared" si="9"/>
        <v>0</v>
      </c>
      <c r="O108" s="64">
        <v>0</v>
      </c>
      <c r="P108" s="65">
        <v>0</v>
      </c>
    </row>
    <row r="109" spans="1:16" ht="27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0"/>
        <v>0</v>
      </c>
      <c r="L109" s="33">
        <f>0+K109</f>
        <v>0</v>
      </c>
      <c r="M109" s="34">
        <f t="shared" si="9"/>
        <v>0</v>
      </c>
      <c r="N109" s="35">
        <f t="shared" si="9"/>
        <v>0</v>
      </c>
      <c r="O109" s="64">
        <v>0</v>
      </c>
      <c r="P109" s="65">
        <v>0</v>
      </c>
    </row>
    <row r="110" spans="1:18" ht="36.7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0"/>
        <v>0</v>
      </c>
      <c r="L110" s="33">
        <f>0+K110</f>
        <v>0</v>
      </c>
      <c r="M110" s="34">
        <f t="shared" si="9"/>
        <v>0</v>
      </c>
      <c r="N110" s="35">
        <f t="shared" si="9"/>
        <v>0</v>
      </c>
      <c r="O110" s="64">
        <v>0</v>
      </c>
      <c r="P110" s="65">
        <v>0</v>
      </c>
      <c r="R110" s="96"/>
    </row>
    <row r="111" spans="1:16" ht="32.25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10"/>
        <v>0</v>
      </c>
      <c r="L111" s="33">
        <f>7200+K111</f>
        <v>7200</v>
      </c>
      <c r="M111" s="34">
        <f t="shared" si="9"/>
        <v>0</v>
      </c>
      <c r="N111" s="35">
        <f t="shared" si="9"/>
        <v>-7200</v>
      </c>
      <c r="O111" s="64">
        <v>0</v>
      </c>
      <c r="P111" s="65">
        <v>0</v>
      </c>
    </row>
    <row r="112" spans="1:16" ht="34.5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0"/>
        <v>0</v>
      </c>
      <c r="L112" s="33">
        <f>0+K112</f>
        <v>0</v>
      </c>
      <c r="M112" s="34">
        <f t="shared" si="9"/>
        <v>0</v>
      </c>
      <c r="N112" s="35">
        <f t="shared" si="9"/>
        <v>0</v>
      </c>
      <c r="O112" s="64">
        <v>0</v>
      </c>
      <c r="P112" s="65">
        <v>0</v>
      </c>
    </row>
    <row r="113" spans="1:16" ht="22.5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>
        <v>15100</v>
      </c>
      <c r="H113" s="74"/>
      <c r="I113" s="74"/>
      <c r="J113" s="74"/>
      <c r="K113" s="94">
        <f t="shared" si="10"/>
        <v>15100</v>
      </c>
      <c r="L113" s="33">
        <f>0+K113</f>
        <v>15100</v>
      </c>
      <c r="M113" s="34">
        <f t="shared" si="9"/>
        <v>-15100</v>
      </c>
      <c r="N113" s="35">
        <f t="shared" si="9"/>
        <v>-15100</v>
      </c>
      <c r="O113" s="64">
        <v>0</v>
      </c>
      <c r="P113" s="65">
        <v>0</v>
      </c>
    </row>
    <row r="114" spans="1:16" ht="68.25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6000+E114</f>
        <v>9000</v>
      </c>
      <c r="G114" s="74">
        <v>900.04</v>
      </c>
      <c r="H114" s="74"/>
      <c r="I114" s="74"/>
      <c r="J114" s="74"/>
      <c r="K114" s="94">
        <f t="shared" si="10"/>
        <v>900.04</v>
      </c>
      <c r="L114" s="33">
        <f>1630.68+K114</f>
        <v>2530.7200000000003</v>
      </c>
      <c r="M114" s="34">
        <f t="shared" si="9"/>
        <v>2099.96</v>
      </c>
      <c r="N114" s="35">
        <f t="shared" si="9"/>
        <v>6469.28</v>
      </c>
      <c r="O114" s="64">
        <v>0</v>
      </c>
      <c r="P114" s="65">
        <v>0</v>
      </c>
    </row>
    <row r="115" spans="1:16" ht="33" customHeight="1" thickBot="1">
      <c r="A115" s="60" t="s">
        <v>171</v>
      </c>
      <c r="B115" s="308" t="s">
        <v>172</v>
      </c>
      <c r="C115" s="309"/>
      <c r="D115" s="310"/>
      <c r="E115" s="31"/>
      <c r="F115" s="31">
        <f>6000+E115</f>
        <v>6000</v>
      </c>
      <c r="G115" s="74"/>
      <c r="H115" s="74"/>
      <c r="I115" s="74"/>
      <c r="J115" s="74"/>
      <c r="K115" s="94">
        <f t="shared" si="10"/>
        <v>0</v>
      </c>
      <c r="L115" s="33">
        <f>0+K115</f>
        <v>0</v>
      </c>
      <c r="M115" s="34">
        <f t="shared" si="9"/>
        <v>0</v>
      </c>
      <c r="N115" s="35">
        <f t="shared" si="9"/>
        <v>6000</v>
      </c>
      <c r="O115" s="64">
        <v>0</v>
      </c>
      <c r="P115" s="65">
        <v>0</v>
      </c>
    </row>
    <row r="116" spans="1:16" ht="30" customHeight="1" thickBot="1">
      <c r="A116" s="60" t="s">
        <v>173</v>
      </c>
      <c r="B116" s="308" t="s">
        <v>174</v>
      </c>
      <c r="C116" s="309"/>
      <c r="D116" s="310"/>
      <c r="E116" s="31"/>
      <c r="F116" s="31"/>
      <c r="G116" s="74"/>
      <c r="H116" s="74"/>
      <c r="I116" s="74"/>
      <c r="J116" s="74"/>
      <c r="K116" s="94">
        <f t="shared" si="10"/>
        <v>0</v>
      </c>
      <c r="L116" s="33">
        <f>0+K116</f>
        <v>0</v>
      </c>
      <c r="M116" s="34">
        <f t="shared" si="9"/>
        <v>0</v>
      </c>
      <c r="N116" s="35">
        <f t="shared" si="9"/>
        <v>0</v>
      </c>
      <c r="O116" s="64">
        <v>0</v>
      </c>
      <c r="P116" s="65">
        <v>0</v>
      </c>
    </row>
    <row r="117" spans="1:16" ht="42.7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9"/>
        <v>0</v>
      </c>
      <c r="N117" s="35">
        <f t="shared" si="9"/>
        <v>0</v>
      </c>
      <c r="O117" s="64">
        <v>0</v>
      </c>
      <c r="P117" s="65">
        <v>0</v>
      </c>
    </row>
    <row r="118" spans="1:16" ht="33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>
        <v>872.45</v>
      </c>
      <c r="H118" s="74"/>
      <c r="I118" s="74"/>
      <c r="J118" s="74">
        <v>399.52</v>
      </c>
      <c r="K118" s="94">
        <f>G118+J118</f>
        <v>1271.97</v>
      </c>
      <c r="L118" s="33">
        <f>1517+K118</f>
        <v>2788.9700000000003</v>
      </c>
      <c r="M118" s="34">
        <f t="shared" si="9"/>
        <v>-1271.97</v>
      </c>
      <c r="N118" s="35">
        <f t="shared" si="9"/>
        <v>-2788.9700000000003</v>
      </c>
      <c r="O118" s="64">
        <v>0</v>
      </c>
      <c r="P118" s="65">
        <v>0</v>
      </c>
    </row>
    <row r="119" spans="1:18" ht="30.75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9"/>
        <v>0</v>
      </c>
      <c r="N119" s="35">
        <f t="shared" si="9"/>
        <v>0</v>
      </c>
      <c r="O119" s="64">
        <v>0</v>
      </c>
      <c r="P119" s="65">
        <v>0</v>
      </c>
      <c r="R119" s="96">
        <f>F131+F129+F128+F119+F115+F114+F113+F107+F106</f>
        <v>296200</v>
      </c>
    </row>
    <row r="120" spans="1:16" ht="33" customHeight="1" thickBot="1">
      <c r="A120" s="97" t="s">
        <v>180</v>
      </c>
      <c r="B120" s="308" t="s">
        <v>181</v>
      </c>
      <c r="C120" s="309"/>
      <c r="D120" s="310"/>
      <c r="E120" s="31">
        <v>1600</v>
      </c>
      <c r="F120" s="31">
        <f>3000+E120</f>
        <v>4600</v>
      </c>
      <c r="G120" s="74">
        <v>1400</v>
      </c>
      <c r="H120" s="74"/>
      <c r="I120" s="74"/>
      <c r="J120" s="74"/>
      <c r="K120" s="94">
        <f t="shared" si="10"/>
        <v>1400</v>
      </c>
      <c r="L120" s="33">
        <f>4050+K120</f>
        <v>5450</v>
      </c>
      <c r="M120" s="34">
        <f t="shared" si="9"/>
        <v>200</v>
      </c>
      <c r="N120" s="35">
        <f t="shared" si="9"/>
        <v>-850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0.75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customHeight="1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63" customHeight="1" thickBot="1">
      <c r="A124" s="205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202">
        <v>3</v>
      </c>
      <c r="G125" s="202">
        <v>4</v>
      </c>
      <c r="H125" s="202">
        <v>5</v>
      </c>
      <c r="I125" s="7">
        <v>6</v>
      </c>
      <c r="J125" s="7">
        <v>7</v>
      </c>
      <c r="K125" s="48">
        <v>8</v>
      </c>
      <c r="L125" s="199">
        <v>9</v>
      </c>
      <c r="M125" s="7">
        <v>10</v>
      </c>
      <c r="N125" s="199">
        <v>11</v>
      </c>
      <c r="O125" s="7">
        <v>12</v>
      </c>
      <c r="P125" s="199">
        <v>13</v>
      </c>
    </row>
    <row r="126" spans="1:16" ht="30" customHeight="1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11" ref="K126:K141">G126</f>
        <v>0</v>
      </c>
      <c r="L126" s="33">
        <f>0+K126</f>
        <v>0</v>
      </c>
      <c r="M126" s="34">
        <f aca="true" t="shared" si="12" ref="M126:N142">E126-K126</f>
        <v>0</v>
      </c>
      <c r="N126" s="35">
        <f t="shared" si="12"/>
        <v>0</v>
      </c>
      <c r="O126" s="64">
        <v>0</v>
      </c>
      <c r="P126" s="65">
        <v>0</v>
      </c>
    </row>
    <row r="127" spans="1:16" ht="41.25" customHeight="1" thickBot="1">
      <c r="A127" s="107" t="s">
        <v>184</v>
      </c>
      <c r="B127" s="325" t="s">
        <v>185</v>
      </c>
      <c r="C127" s="326"/>
      <c r="D127" s="327"/>
      <c r="E127" s="31"/>
      <c r="F127" s="31"/>
      <c r="G127" s="74"/>
      <c r="H127" s="74"/>
      <c r="I127" s="74"/>
      <c r="J127" s="74"/>
      <c r="K127" s="94">
        <f t="shared" si="11"/>
        <v>0</v>
      </c>
      <c r="L127" s="33">
        <f>0+K127</f>
        <v>0</v>
      </c>
      <c r="M127" s="34">
        <f t="shared" si="12"/>
        <v>0</v>
      </c>
      <c r="N127" s="35">
        <f t="shared" si="12"/>
        <v>0</v>
      </c>
      <c r="O127" s="64">
        <v>0</v>
      </c>
      <c r="P127" s="65">
        <v>0</v>
      </c>
    </row>
    <row r="128" spans="1:16" ht="39" customHeight="1" thickBot="1">
      <c r="A128" s="108" t="s">
        <v>186</v>
      </c>
      <c r="B128" s="325" t="s">
        <v>187</v>
      </c>
      <c r="C128" s="326"/>
      <c r="D128" s="327"/>
      <c r="E128" s="31"/>
      <c r="F128" s="31">
        <f>0+E128</f>
        <v>0</v>
      </c>
      <c r="G128" s="74">
        <v>141767.04</v>
      </c>
      <c r="H128" s="74"/>
      <c r="I128" s="74"/>
      <c r="J128" s="74"/>
      <c r="K128" s="94">
        <f>I128+G128</f>
        <v>141767.04</v>
      </c>
      <c r="L128" s="33">
        <f>1615.75+K128</f>
        <v>143382.79</v>
      </c>
      <c r="M128" s="34">
        <f t="shared" si="12"/>
        <v>-141767.04</v>
      </c>
      <c r="N128" s="35">
        <f t="shared" si="12"/>
        <v>-143382.79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2"/>
        <v>0</v>
      </c>
      <c r="N129" s="35">
        <f t="shared" si="12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325" t="s">
        <v>191</v>
      </c>
      <c r="C130" s="326"/>
      <c r="D130" s="327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2"/>
        <v>0</v>
      </c>
      <c r="N130" s="35">
        <f t="shared" si="12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60" t="s">
        <v>218</v>
      </c>
      <c r="C131" s="461"/>
      <c r="D131" s="462"/>
      <c r="E131" s="31"/>
      <c r="F131" s="31">
        <f>225000+E131</f>
        <v>225000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2"/>
        <v>0</v>
      </c>
      <c r="N131" s="35">
        <f t="shared" si="12"/>
        <v>225000</v>
      </c>
      <c r="O131" s="64">
        <v>0</v>
      </c>
      <c r="P131" s="65">
        <v>0</v>
      </c>
    </row>
    <row r="132" spans="1:16" ht="24" customHeight="1" thickBot="1">
      <c r="A132" s="109" t="s">
        <v>213</v>
      </c>
      <c r="B132" s="460" t="s">
        <v>214</v>
      </c>
      <c r="C132" s="461"/>
      <c r="D132" s="462"/>
      <c r="E132" s="31"/>
      <c r="F132" s="31">
        <f>5950+E132</f>
        <v>5950</v>
      </c>
      <c r="G132" s="74"/>
      <c r="H132" s="74"/>
      <c r="I132" s="74"/>
      <c r="J132" s="74"/>
      <c r="K132" s="94">
        <f>G132+I132</f>
        <v>0</v>
      </c>
      <c r="L132" s="33">
        <f>8063+K132</f>
        <v>8063</v>
      </c>
      <c r="M132" s="34">
        <f t="shared" si="12"/>
        <v>0</v>
      </c>
      <c r="N132" s="35">
        <f t="shared" si="12"/>
        <v>-2113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50000</v>
      </c>
      <c r="F133" s="73">
        <f>F134</f>
        <v>50000</v>
      </c>
      <c r="G133" s="75">
        <f>G134+G135</f>
        <v>798</v>
      </c>
      <c r="H133" s="74"/>
      <c r="I133" s="74"/>
      <c r="J133" s="74"/>
      <c r="K133" s="93">
        <f t="shared" si="11"/>
        <v>798</v>
      </c>
      <c r="L133" s="55">
        <f>L134+L135</f>
        <v>7878</v>
      </c>
      <c r="M133" s="56">
        <f t="shared" si="12"/>
        <v>49202</v>
      </c>
      <c r="N133" s="70">
        <f t="shared" si="12"/>
        <v>42122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61">
        <v>50000</v>
      </c>
      <c r="F134" s="31">
        <f>0+E134</f>
        <v>50000</v>
      </c>
      <c r="G134" s="74">
        <v>798</v>
      </c>
      <c r="H134" s="74"/>
      <c r="I134" s="74"/>
      <c r="J134" s="74"/>
      <c r="K134" s="94">
        <f t="shared" si="11"/>
        <v>798</v>
      </c>
      <c r="L134" s="33">
        <f>7080+K134</f>
        <v>7878</v>
      </c>
      <c r="M134" s="34">
        <f t="shared" si="12"/>
        <v>49202</v>
      </c>
      <c r="N134" s="35">
        <f t="shared" si="12"/>
        <v>42122</v>
      </c>
      <c r="O134" s="64">
        <v>0</v>
      </c>
      <c r="P134" s="65">
        <v>0</v>
      </c>
      <c r="Q134" s="1"/>
      <c r="R134" s="1"/>
      <c r="S134" s="1"/>
    </row>
    <row r="135" spans="1:19" ht="30.7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1"/>
        <v>0</v>
      </c>
      <c r="L135" s="33">
        <f>0+K135</f>
        <v>0</v>
      </c>
      <c r="M135" s="34">
        <f t="shared" si="12"/>
        <v>0</v>
      </c>
      <c r="N135" s="35">
        <f t="shared" si="12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11"/>
        <v>0</v>
      </c>
      <c r="L136" s="55">
        <f>0+K136</f>
        <v>0</v>
      </c>
      <c r="M136" s="56">
        <f t="shared" si="12"/>
        <v>0</v>
      </c>
      <c r="N136" s="70">
        <f t="shared" si="12"/>
        <v>0</v>
      </c>
      <c r="O136" s="58">
        <v>0</v>
      </c>
      <c r="P136" s="59">
        <v>0</v>
      </c>
      <c r="Q136" s="1"/>
      <c r="R136" s="1"/>
      <c r="S136" s="1"/>
    </row>
    <row r="137" spans="1:19" ht="30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11"/>
        <v>0</v>
      </c>
      <c r="L137" s="33">
        <f>0+K137</f>
        <v>0</v>
      </c>
      <c r="M137" s="34">
        <f t="shared" si="12"/>
        <v>0</v>
      </c>
      <c r="N137" s="35">
        <f t="shared" si="12"/>
        <v>0</v>
      </c>
      <c r="O137" s="64">
        <v>0</v>
      </c>
      <c r="P137" s="65">
        <v>0</v>
      </c>
      <c r="Q137" s="1"/>
      <c r="R137" s="1"/>
      <c r="S137" s="1"/>
    </row>
    <row r="138" spans="1:19" ht="42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1"/>
        <v>0</v>
      </c>
      <c r="L138" s="33">
        <f>0+K138</f>
        <v>0</v>
      </c>
      <c r="M138" s="34">
        <f t="shared" si="12"/>
        <v>0</v>
      </c>
      <c r="N138" s="35">
        <f t="shared" si="12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 t="shared" si="11"/>
        <v>0</v>
      </c>
      <c r="L139" s="55">
        <f>L140</f>
        <v>0</v>
      </c>
      <c r="M139" s="56">
        <f t="shared" si="12"/>
        <v>0</v>
      </c>
      <c r="N139" s="70">
        <f t="shared" si="12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11"/>
        <v>0</v>
      </c>
      <c r="L140" s="33">
        <f>0+K140</f>
        <v>0</v>
      </c>
      <c r="M140" s="34">
        <f t="shared" si="12"/>
        <v>0</v>
      </c>
      <c r="N140" s="35">
        <f t="shared" si="12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1"/>
        <v>0</v>
      </c>
      <c r="L141" s="33">
        <f>0+K141</f>
        <v>0</v>
      </c>
      <c r="M141" s="34">
        <f t="shared" si="12"/>
        <v>0</v>
      </c>
      <c r="N141" s="35">
        <f t="shared" si="12"/>
        <v>0</v>
      </c>
      <c r="O141" s="64">
        <v>0</v>
      </c>
      <c r="P141" s="65">
        <v>0</v>
      </c>
      <c r="Q141" s="1"/>
      <c r="R141" s="1"/>
      <c r="S141" s="1"/>
    </row>
    <row r="142" spans="1:19" ht="22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>
        <v>274256.54</v>
      </c>
      <c r="K142" s="93">
        <f>J142</f>
        <v>274256.54</v>
      </c>
      <c r="L142" s="55">
        <f>155753.89+K142</f>
        <v>430010.43</v>
      </c>
      <c r="M142" s="56">
        <f t="shared" si="12"/>
        <v>-274256.54</v>
      </c>
      <c r="N142" s="70">
        <f t="shared" si="12"/>
        <v>-430010.43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196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211" t="s">
        <v>235</v>
      </c>
      <c r="P143" s="212"/>
      <c r="Q143" s="214"/>
      <c r="R143" s="213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197">
        <v>0</v>
      </c>
      <c r="N144" s="197">
        <v>0</v>
      </c>
      <c r="O144" s="4"/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69067.34000000017</v>
      </c>
      <c r="H145" s="4">
        <f>G18+H10-H31-H35</f>
        <v>290553.5</v>
      </c>
      <c r="I145" s="299">
        <f>I10+G19-I104-I66-I97-I76</f>
        <v>10.6</v>
      </c>
      <c r="J145" s="300"/>
      <c r="K145" s="120">
        <f>O10+G22-J54</f>
        <v>-1654.6599999999999</v>
      </c>
      <c r="L145" s="4">
        <f>L10+G23-J142</f>
        <v>144906.41000000003</v>
      </c>
      <c r="M145" s="197">
        <v>0</v>
      </c>
      <c r="N145" s="4">
        <f>N10+G21-J33-J92-J105</f>
        <v>691.8900000000001</v>
      </c>
      <c r="O145" s="215">
        <f>G20-H56</f>
        <v>0</v>
      </c>
      <c r="P145" s="4">
        <f>SUM(G145:O145)</f>
        <v>503575.08000000025</v>
      </c>
      <c r="Q145" s="1"/>
      <c r="R145" s="80">
        <f>P5+L16-L29</f>
        <v>503575.0800000001</v>
      </c>
      <c r="S145" s="37"/>
    </row>
    <row r="146" spans="1:19" ht="24.75" customHeight="1" thickBot="1">
      <c r="A146" s="122"/>
      <c r="B146" s="288" t="s">
        <v>225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503575.08000000025</v>
      </c>
      <c r="Q146" s="1"/>
      <c r="R146" s="37">
        <f>P5+L16-L29</f>
        <v>503575.0800000001</v>
      </c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194"/>
      <c r="C150" s="194"/>
      <c r="D150" s="194"/>
      <c r="E150" s="194"/>
      <c r="F150" s="194"/>
      <c r="G150" s="194"/>
      <c r="H150" s="194"/>
      <c r="I150" s="194"/>
      <c r="J150" s="130"/>
      <c r="K150" s="131"/>
      <c r="L150" s="130"/>
      <c r="M150" s="194"/>
      <c r="N150" s="194"/>
      <c r="O150" s="194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4">
    <mergeCell ref="B145:E145"/>
    <mergeCell ref="B148:E148"/>
    <mergeCell ref="F148:N148"/>
    <mergeCell ref="O148:P148"/>
    <mergeCell ref="B141:D141"/>
    <mergeCell ref="B143:E143"/>
    <mergeCell ref="I143:J143"/>
    <mergeCell ref="B144:E144"/>
    <mergeCell ref="I144:J144"/>
    <mergeCell ref="B142:D142"/>
    <mergeCell ref="I145:J145"/>
    <mergeCell ref="B146:E146"/>
    <mergeCell ref="F146:O146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49:E149"/>
    <mergeCell ref="F149:N149"/>
    <mergeCell ref="O149:P149"/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</mergeCells>
  <printOptions/>
  <pageMargins left="0" right="0" top="0" bottom="0" header="0.11811023622047245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82">
      <selection activeCell="G97" sqref="G97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7109375" style="2" customWidth="1"/>
    <col min="5" max="5" width="12.7109375" style="2" customWidth="1"/>
    <col min="6" max="6" width="13.57421875" style="2" customWidth="1"/>
    <col min="7" max="7" width="14.421875" style="2" customWidth="1"/>
    <col min="8" max="8" width="13.57421875" style="2" customWidth="1"/>
    <col min="9" max="9" width="7.00390625" style="2" customWidth="1"/>
    <col min="10" max="10" width="11.8515625" style="2" customWidth="1"/>
    <col min="11" max="11" width="13.00390625" style="2" customWidth="1"/>
    <col min="12" max="12" width="12.8515625" style="2" customWidth="1"/>
    <col min="13" max="13" width="13.7109375" style="2" customWidth="1"/>
    <col min="14" max="14" width="11.140625" style="2" customWidth="1"/>
    <col min="15" max="15" width="9.710937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>
      <c r="A2" s="1"/>
      <c r="B2" s="458" t="s">
        <v>226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2.5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2.5" customHeight="1" thickBot="1">
      <c r="A6" s="3"/>
      <c r="B6" s="451" t="s">
        <v>227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163">
        <f>P10</f>
        <v>503575.08</v>
      </c>
    </row>
    <row r="7" spans="1:18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70"/>
      <c r="R7" s="216"/>
    </row>
    <row r="8" spans="1:19" ht="73.5" customHeight="1" thickBot="1">
      <c r="A8" s="6"/>
      <c r="B8" s="451" t="s">
        <v>3</v>
      </c>
      <c r="C8" s="288"/>
      <c r="D8" s="288"/>
      <c r="E8" s="289"/>
      <c r="F8" s="113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160" t="s">
        <v>9</v>
      </c>
      <c r="N8" s="165" t="s">
        <v>10</v>
      </c>
      <c r="O8" s="11" t="s">
        <v>11</v>
      </c>
      <c r="P8" s="212"/>
      <c r="Q8" s="214"/>
      <c r="R8" s="217"/>
      <c r="S8" s="216"/>
    </row>
    <row r="9" spans="1:18" ht="22.5" customHeight="1" thickBot="1">
      <c r="A9" s="3"/>
      <c r="B9" s="448" t="s">
        <v>12</v>
      </c>
      <c r="C9" s="449"/>
      <c r="D9" s="449"/>
      <c r="E9" s="450"/>
      <c r="F9" s="209">
        <v>0</v>
      </c>
      <c r="G9" s="210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162">
        <v>0</v>
      </c>
      <c r="N9" s="4">
        <v>0</v>
      </c>
      <c r="O9" s="15">
        <v>0</v>
      </c>
      <c r="P9" s="119">
        <v>0</v>
      </c>
      <c r="R9" s="216"/>
    </row>
    <row r="10" spans="1:18" ht="21" customHeight="1" thickBot="1">
      <c r="A10" s="3"/>
      <c r="B10" s="448" t="s">
        <v>13</v>
      </c>
      <c r="C10" s="449"/>
      <c r="D10" s="449"/>
      <c r="E10" s="450"/>
      <c r="F10" s="209">
        <v>69067.34</v>
      </c>
      <c r="G10" s="4">
        <v>0</v>
      </c>
      <c r="H10" s="4">
        <v>290553.5</v>
      </c>
      <c r="I10" s="299">
        <v>10.6</v>
      </c>
      <c r="J10" s="300"/>
      <c r="K10" s="13">
        <v>0</v>
      </c>
      <c r="L10" s="4">
        <v>144906.41</v>
      </c>
      <c r="M10" s="162">
        <v>0</v>
      </c>
      <c r="N10" s="4">
        <v>691.89</v>
      </c>
      <c r="O10" s="4">
        <v>-1654.66</v>
      </c>
      <c r="P10" s="163">
        <f>SUM(F10:O10)</f>
        <v>503575.08</v>
      </c>
      <c r="R10" s="216"/>
    </row>
    <row r="11" spans="1:16" ht="15.75" thickBot="1">
      <c r="A11" s="169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30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166">
        <v>3</v>
      </c>
      <c r="G14" s="403">
        <v>4</v>
      </c>
      <c r="H14" s="404"/>
      <c r="I14" s="404"/>
      <c r="J14" s="405"/>
      <c r="K14" s="19">
        <v>5</v>
      </c>
      <c r="L14" s="164">
        <v>6</v>
      </c>
      <c r="M14" s="7">
        <v>7</v>
      </c>
      <c r="N14" s="164">
        <v>8</v>
      </c>
      <c r="O14" s="164">
        <v>9</v>
      </c>
      <c r="P14" s="7">
        <v>10</v>
      </c>
    </row>
    <row r="15" spans="1:16" ht="30" customHeight="1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8" ht="30.75" customHeight="1" thickBot="1">
      <c r="A16" s="413"/>
      <c r="B16" s="431"/>
      <c r="C16" s="432"/>
      <c r="D16" s="433"/>
      <c r="E16" s="26">
        <f>SUM(E17:E23)</f>
        <v>1639947</v>
      </c>
      <c r="F16" s="27">
        <f>SUM(F17:F23)</f>
        <v>6725538</v>
      </c>
      <c r="G16" s="437">
        <f>G17+G18+G19+G20+G21+G22+G23</f>
        <v>1709592.31</v>
      </c>
      <c r="H16" s="438"/>
      <c r="I16" s="438"/>
      <c r="J16" s="439"/>
      <c r="K16" s="171">
        <f>SUM(K17:K23)</f>
        <v>1709592.31</v>
      </c>
      <c r="L16" s="171">
        <f>SUM(L17:L23)</f>
        <v>6051934.39</v>
      </c>
      <c r="M16" s="171">
        <f>SUM(M17:M23)</f>
        <v>-69645.31</v>
      </c>
      <c r="N16" s="171">
        <f>SUM(N17:N23)</f>
        <v>673603.6099999999</v>
      </c>
      <c r="O16" s="29">
        <v>0</v>
      </c>
      <c r="P16" s="29">
        <v>0</v>
      </c>
      <c r="R16" s="96">
        <f>4342342.08+G16</f>
        <v>6051934.390000001</v>
      </c>
    </row>
    <row r="17" spans="1:18" ht="58.5" customHeight="1" thickBot="1">
      <c r="A17" s="30" t="s">
        <v>29</v>
      </c>
      <c r="B17" s="393" t="s">
        <v>30</v>
      </c>
      <c r="C17" s="394"/>
      <c r="D17" s="395"/>
      <c r="E17" s="154">
        <v>749230</v>
      </c>
      <c r="F17" s="31">
        <f>2817641+E17</f>
        <v>3566871</v>
      </c>
      <c r="G17" s="409">
        <v>702926.48</v>
      </c>
      <c r="H17" s="410"/>
      <c r="I17" s="410"/>
      <c r="J17" s="411"/>
      <c r="K17" s="168">
        <f>G17</f>
        <v>702926.48</v>
      </c>
      <c r="L17" s="33">
        <f>2055805.56+K17</f>
        <v>2758732.04</v>
      </c>
      <c r="M17" s="34">
        <f>E17-K17</f>
        <v>46303.52000000002</v>
      </c>
      <c r="N17" s="35">
        <f>F17-L17</f>
        <v>808138.96</v>
      </c>
      <c r="O17" s="36">
        <v>0</v>
      </c>
      <c r="P17" s="36">
        <v>0</v>
      </c>
      <c r="Q17" s="1"/>
      <c r="R17" s="37">
        <v>365352.1499999948</v>
      </c>
    </row>
    <row r="18" spans="1:18" ht="37.5" customHeight="1" thickBot="1">
      <c r="A18" s="38" t="s">
        <v>31</v>
      </c>
      <c r="B18" s="422" t="s">
        <v>32</v>
      </c>
      <c r="C18" s="423"/>
      <c r="D18" s="424"/>
      <c r="E18" s="148">
        <v>692517</v>
      </c>
      <c r="F18" s="31">
        <f>1291450+E18</f>
        <v>1983967</v>
      </c>
      <c r="G18" s="409">
        <v>468050</v>
      </c>
      <c r="H18" s="410"/>
      <c r="I18" s="410"/>
      <c r="J18" s="411"/>
      <c r="K18" s="168">
        <f>G18</f>
        <v>468050</v>
      </c>
      <c r="L18" s="33">
        <f>1291553.5+K18</f>
        <v>1759603.5</v>
      </c>
      <c r="M18" s="34">
        <f>E18-K18</f>
        <v>224467</v>
      </c>
      <c r="N18" s="35">
        <f>F18-L18</f>
        <v>224363.5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168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48.75" customHeight="1" thickBot="1">
      <c r="A20" s="41" t="s">
        <v>35</v>
      </c>
      <c r="B20" s="416" t="s">
        <v>36</v>
      </c>
      <c r="C20" s="417"/>
      <c r="D20" s="418"/>
      <c r="E20" s="42">
        <v>198200</v>
      </c>
      <c r="F20" s="31">
        <f>976500+E20</f>
        <v>1174700</v>
      </c>
      <c r="G20" s="409">
        <v>388911.21</v>
      </c>
      <c r="H20" s="410"/>
      <c r="I20" s="410"/>
      <c r="J20" s="411"/>
      <c r="K20" s="168">
        <f>G20</f>
        <v>388911.21</v>
      </c>
      <c r="L20" s="33">
        <f>567078.67+K20</f>
        <v>955989.8800000001</v>
      </c>
      <c r="M20" s="34">
        <f t="shared" si="0"/>
        <v>-190711.21000000002</v>
      </c>
      <c r="N20" s="35">
        <f t="shared" si="0"/>
        <v>218710.11999999988</v>
      </c>
      <c r="O20" s="36">
        <v>0</v>
      </c>
      <c r="P20" s="36">
        <v>0</v>
      </c>
      <c r="Q20" s="37"/>
      <c r="R20" s="37"/>
    </row>
    <row r="21" spans="1:18" ht="36.75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>
        <v>5600</v>
      </c>
      <c r="H21" s="410"/>
      <c r="I21" s="410"/>
      <c r="J21" s="411"/>
      <c r="K21" s="168">
        <f>G21</f>
        <v>5600</v>
      </c>
      <c r="L21" s="33">
        <f>16250+K21</f>
        <v>21850</v>
      </c>
      <c r="M21" s="34">
        <f t="shared" si="0"/>
        <v>-5600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47.2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>
        <v>810</v>
      </c>
      <c r="H22" s="410"/>
      <c r="I22" s="410"/>
      <c r="J22" s="411"/>
      <c r="K22" s="168">
        <f>G22</f>
        <v>810</v>
      </c>
      <c r="L22" s="33">
        <f>7335.66+K22</f>
        <v>8145.66</v>
      </c>
      <c r="M22" s="34">
        <f>E22-K22</f>
        <v>-810</v>
      </c>
      <c r="N22" s="35">
        <f t="shared" si="0"/>
        <v>-8145.66</v>
      </c>
      <c r="O22" s="36">
        <v>0</v>
      </c>
      <c r="P22" s="36">
        <v>0</v>
      </c>
      <c r="Q22" s="1"/>
      <c r="R22" s="1"/>
    </row>
    <row r="23" spans="1:18" ht="40.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143294.62</v>
      </c>
      <c r="H23" s="410"/>
      <c r="I23" s="410"/>
      <c r="J23" s="411"/>
      <c r="K23" s="168">
        <f>G23</f>
        <v>143294.62</v>
      </c>
      <c r="L23" s="33">
        <f>379518.69+K23</f>
        <v>522813.31</v>
      </c>
      <c r="M23" s="34">
        <f t="shared" si="0"/>
        <v>-143294.62</v>
      </c>
      <c r="N23" s="35">
        <f t="shared" si="0"/>
        <v>-522813.31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6.7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87" customHeight="1" thickBot="1">
      <c r="A27" s="413"/>
      <c r="B27" s="371"/>
      <c r="C27" s="372"/>
      <c r="D27" s="373"/>
      <c r="E27" s="375"/>
      <c r="F27" s="377"/>
      <c r="G27" s="167" t="s">
        <v>45</v>
      </c>
      <c r="H27" s="167" t="s">
        <v>46</v>
      </c>
      <c r="I27" s="167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167">
        <v>3</v>
      </c>
      <c r="G28" s="167">
        <v>4</v>
      </c>
      <c r="H28" s="167">
        <v>5</v>
      </c>
      <c r="I28" s="7">
        <v>6</v>
      </c>
      <c r="J28" s="7">
        <v>7</v>
      </c>
      <c r="K28" s="48">
        <v>8</v>
      </c>
      <c r="L28" s="164">
        <v>9</v>
      </c>
      <c r="M28" s="7">
        <v>10</v>
      </c>
      <c r="N28" s="164">
        <v>11</v>
      </c>
      <c r="O28" s="7">
        <v>12</v>
      </c>
      <c r="P28" s="164">
        <v>13</v>
      </c>
      <c r="Q28" s="1"/>
      <c r="R28" s="1"/>
    </row>
    <row r="29" spans="1:18" ht="23.25" customHeight="1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1639947</v>
      </c>
      <c r="F29" s="49">
        <f>F30+F34+F38+F44+F51+F54+F64+F67+F71+F74+F78+F80+F88+F101+F133+F136+F139+F142</f>
        <v>6725538</v>
      </c>
      <c r="G29" s="49">
        <f>G30+G34+G38+G44+G51+G54+G64+G67+G71+G74+G78+G80+G88+G101+G133+G136+G139+G142</f>
        <v>797583.9</v>
      </c>
      <c r="H29" s="49">
        <f>H30+H34+H38+H44+H51+H54+H64+H67+H71+H74+H78+H80+H88+H101+H133+H136+H139+H142</f>
        <v>867764.71</v>
      </c>
      <c r="I29" s="49">
        <f>I30+I34+I38+I44+I51+I54+I64+I67+I71+I74+I78+I80+I88+I101+I133+I136+I139+I142</f>
        <v>0</v>
      </c>
      <c r="J29" s="49">
        <f>J30+J34+J38+J44+J51+J54+J64+J67+J71+J74+J78+J80+J88+J101+J133+J136+J139+J142</f>
        <v>144977.06</v>
      </c>
      <c r="K29" s="49">
        <f>K30+K34+K38+K44+K51+K54+K64+K67+K71+K74+K78+K80+K88+K101+K133+K136+K139+K142</f>
        <v>1810325.6700000002</v>
      </c>
      <c r="L29" s="49">
        <f>L30+L34+L38+L44+L51+L54+L64+L67+L71+L74+L78+L80+L88+L101+L133+L136+L139+L142</f>
        <v>5895517.09</v>
      </c>
      <c r="M29" s="49">
        <f>M30+M34+M38+M44+M51+M54+M64+M67+M71+M74+M78+M80+M88+M101+M133+M136+M139+M142</f>
        <v>-170378.67000000004</v>
      </c>
      <c r="N29" s="49">
        <f>N30+N34+N38+N44+N51+N54+N64+N67+N71+N74+N78+N80+N88+N101+N133+N136+N139+N142</f>
        <v>830020.9099999999</v>
      </c>
      <c r="O29" s="50">
        <v>0</v>
      </c>
      <c r="P29" s="50">
        <v>0</v>
      </c>
      <c r="Q29" s="1"/>
      <c r="R29" s="37">
        <f>3440426+E29</f>
        <v>5080373</v>
      </c>
    </row>
    <row r="30" spans="1:18" ht="24.75" customHeight="1" thickBot="1">
      <c r="A30" s="51" t="s">
        <v>21</v>
      </c>
      <c r="B30" s="402" t="s">
        <v>49</v>
      </c>
      <c r="C30" s="304"/>
      <c r="D30" s="305"/>
      <c r="E30" s="52">
        <f>SUM(E31:E32)</f>
        <v>694801</v>
      </c>
      <c r="F30" s="53">
        <f>F31+F32+F33</f>
        <v>2779204</v>
      </c>
      <c r="G30" s="54">
        <f>G31+G32+G33</f>
        <v>328427.84</v>
      </c>
      <c r="H30" s="54">
        <f>H31</f>
        <v>400195.5</v>
      </c>
      <c r="I30" s="54"/>
      <c r="J30" s="54"/>
      <c r="K30" s="53">
        <f>G30+H30</f>
        <v>728623.3400000001</v>
      </c>
      <c r="L30" s="55">
        <f>L31+L32+L33</f>
        <v>2341193.66</v>
      </c>
      <c r="M30" s="56">
        <f>E30-K30</f>
        <v>-33822.340000000084</v>
      </c>
      <c r="N30" s="57">
        <f>F30-L30</f>
        <v>438010.33999999985</v>
      </c>
      <c r="O30" s="58">
        <v>0</v>
      </c>
      <c r="P30" s="59">
        <v>0</v>
      </c>
      <c r="Q30" s="37"/>
      <c r="R30" s="37"/>
    </row>
    <row r="31" spans="1:18" ht="19.5" customHeight="1" thickBot="1">
      <c r="A31" s="60" t="s">
        <v>50</v>
      </c>
      <c r="B31" s="388" t="s">
        <v>51</v>
      </c>
      <c r="C31" s="389"/>
      <c r="D31" s="390"/>
      <c r="E31" s="172">
        <v>576137</v>
      </c>
      <c r="F31" s="31">
        <f>1074418+E31</f>
        <v>1650555</v>
      </c>
      <c r="G31" s="62"/>
      <c r="H31" s="62">
        <v>400195.5</v>
      </c>
      <c r="I31" s="62"/>
      <c r="J31" s="62"/>
      <c r="K31" s="45">
        <f>H31</f>
        <v>400195.5</v>
      </c>
      <c r="L31" s="33">
        <f>862608+K31</f>
        <v>1262803.5</v>
      </c>
      <c r="M31" s="34">
        <f>E31-K31</f>
        <v>175941.5</v>
      </c>
      <c r="N31" s="63">
        <f>F31-L31</f>
        <v>387751.5</v>
      </c>
      <c r="O31" s="64">
        <v>0</v>
      </c>
      <c r="P31" s="65">
        <v>0</v>
      </c>
      <c r="Q31" s="37"/>
      <c r="R31" s="37"/>
    </row>
    <row r="32" spans="1:18" ht="30" customHeight="1" thickBot="1">
      <c r="A32" s="60" t="s">
        <v>52</v>
      </c>
      <c r="B32" s="301" t="s">
        <v>53</v>
      </c>
      <c r="C32" s="302"/>
      <c r="D32" s="303"/>
      <c r="E32" s="172">
        <v>118664</v>
      </c>
      <c r="F32" s="31">
        <f>1009985+E32</f>
        <v>1128649</v>
      </c>
      <c r="G32" s="62">
        <v>328427.84</v>
      </c>
      <c r="H32" s="62"/>
      <c r="I32" s="62"/>
      <c r="J32" s="62"/>
      <c r="K32" s="33">
        <f>0+G32</f>
        <v>328427.84</v>
      </c>
      <c r="L32" s="33">
        <f>737422.32+K32</f>
        <v>1065850.16</v>
      </c>
      <c r="M32" s="34">
        <f>E32-K32</f>
        <v>-209763.84000000003</v>
      </c>
      <c r="N32" s="63">
        <f>F32-L32</f>
        <v>62798.840000000084</v>
      </c>
      <c r="O32" s="64">
        <v>0</v>
      </c>
      <c r="P32" s="65">
        <v>0</v>
      </c>
      <c r="Q32" s="37"/>
      <c r="R32" s="37">
        <f>4085191.42+K29</f>
        <v>5895517.09</v>
      </c>
    </row>
    <row r="33" spans="1:18" ht="30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/>
      <c r="L33" s="33">
        <f>12540+K33</f>
        <v>12540</v>
      </c>
      <c r="M33" s="34">
        <f>E33-K33</f>
        <v>0</v>
      </c>
      <c r="N33" s="63">
        <f>F33-L33</f>
        <v>-12540</v>
      </c>
      <c r="O33" s="64">
        <v>0</v>
      </c>
      <c r="P33" s="65">
        <v>0</v>
      </c>
      <c r="Q33" s="37"/>
      <c r="R33" s="37"/>
    </row>
    <row r="34" spans="1:18" ht="30" customHeight="1" thickBot="1">
      <c r="A34" s="69" t="s">
        <v>22</v>
      </c>
      <c r="B34" s="357" t="s">
        <v>56</v>
      </c>
      <c r="C34" s="358"/>
      <c r="D34" s="359"/>
      <c r="E34" s="53">
        <f>SUM(E35:E37)</f>
        <v>140350</v>
      </c>
      <c r="F34" s="53">
        <f>F35+F36+F37</f>
        <v>561400</v>
      </c>
      <c r="G34" s="54">
        <f>G35+G36+G37</f>
        <v>70046.19</v>
      </c>
      <c r="H34" s="54">
        <f>H35</f>
        <v>78658</v>
      </c>
      <c r="I34" s="54"/>
      <c r="J34" s="54"/>
      <c r="K34" s="53">
        <f>G34+H34</f>
        <v>148704.19</v>
      </c>
      <c r="L34" s="55">
        <f>L35+L36+L37</f>
        <v>494332.64</v>
      </c>
      <c r="M34" s="56">
        <f aca="true" t="shared" si="1" ref="M34:N36">E34-K34</f>
        <v>-8354.190000000002</v>
      </c>
      <c r="N34" s="70">
        <f t="shared" si="1"/>
        <v>67067.35999999999</v>
      </c>
      <c r="O34" s="58">
        <v>0</v>
      </c>
      <c r="P34" s="59">
        <v>0</v>
      </c>
      <c r="Q34" s="1"/>
      <c r="R34" s="71"/>
    </row>
    <row r="35" spans="1:18" ht="18" customHeight="1" thickBot="1">
      <c r="A35" s="60" t="s">
        <v>57</v>
      </c>
      <c r="B35" s="388" t="s">
        <v>51</v>
      </c>
      <c r="C35" s="389"/>
      <c r="D35" s="390"/>
      <c r="E35" s="173">
        <v>116380</v>
      </c>
      <c r="F35" s="31">
        <f>217032+E35</f>
        <v>333412</v>
      </c>
      <c r="G35" s="62"/>
      <c r="H35" s="62">
        <v>78658</v>
      </c>
      <c r="I35" s="62"/>
      <c r="J35" s="62"/>
      <c r="K35" s="45">
        <f>H35</f>
        <v>78658</v>
      </c>
      <c r="L35" s="33">
        <f>138392+K35</f>
        <v>217050</v>
      </c>
      <c r="M35" s="34">
        <f t="shared" si="1"/>
        <v>37722</v>
      </c>
      <c r="N35" s="63">
        <f t="shared" si="1"/>
        <v>116362</v>
      </c>
      <c r="O35" s="64">
        <v>0</v>
      </c>
      <c r="P35" s="65">
        <v>0</v>
      </c>
      <c r="Q35" s="1"/>
      <c r="R35" s="71">
        <f>10506304-F29</f>
        <v>3780766</v>
      </c>
    </row>
    <row r="36" spans="1:18" ht="28.5" customHeight="1" thickBot="1">
      <c r="A36" s="60" t="s">
        <v>58</v>
      </c>
      <c r="B36" s="301" t="s">
        <v>53</v>
      </c>
      <c r="C36" s="302"/>
      <c r="D36" s="303"/>
      <c r="E36" s="173">
        <v>23970</v>
      </c>
      <c r="F36" s="31">
        <f>204018+E36</f>
        <v>227988</v>
      </c>
      <c r="G36" s="62">
        <v>70046.19</v>
      </c>
      <c r="H36" s="62"/>
      <c r="I36" s="62"/>
      <c r="J36" s="62"/>
      <c r="K36" s="45">
        <f>G36</f>
        <v>70046.19</v>
      </c>
      <c r="L36" s="33">
        <f>204703.37+K36</f>
        <v>274749.56</v>
      </c>
      <c r="M36" s="34">
        <f>E36-K36</f>
        <v>-46076.19</v>
      </c>
      <c r="N36" s="63">
        <f t="shared" si="1"/>
        <v>-46761.56</v>
      </c>
      <c r="O36" s="64">
        <v>0</v>
      </c>
      <c r="P36" s="65">
        <v>0</v>
      </c>
      <c r="Q36" s="1"/>
      <c r="R36" s="1"/>
    </row>
    <row r="37" spans="1:18" ht="27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/>
      <c r="L37" s="33">
        <f>2533.08+K37</f>
        <v>2533.08</v>
      </c>
      <c r="M37" s="34">
        <f>E37-K37</f>
        <v>0</v>
      </c>
      <c r="N37" s="63">
        <f>F37-L37</f>
        <v>-2533.08</v>
      </c>
      <c r="O37" s="64">
        <v>0</v>
      </c>
      <c r="P37" s="65">
        <v>0</v>
      </c>
      <c r="Q37" s="1"/>
      <c r="R37" s="1"/>
    </row>
    <row r="38" spans="1:18" ht="26.2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54384</v>
      </c>
      <c r="G38" s="54">
        <f>G40</f>
        <v>4632.65</v>
      </c>
      <c r="H38" s="54"/>
      <c r="I38" s="54"/>
      <c r="J38" s="54"/>
      <c r="K38" s="55">
        <f>K39+K40</f>
        <v>4632.65</v>
      </c>
      <c r="L38" s="55">
        <f>L40+L39</f>
        <v>20901.940000000002</v>
      </c>
      <c r="M38" s="56">
        <f>E38-K38</f>
        <v>4213.35</v>
      </c>
      <c r="N38" s="57">
        <f>F38-L38</f>
        <v>33482.06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45538+E40</f>
        <v>54384</v>
      </c>
      <c r="G40" s="62">
        <f>G41+G42</f>
        <v>4632.65</v>
      </c>
      <c r="H40" s="62"/>
      <c r="I40" s="62"/>
      <c r="J40" s="62"/>
      <c r="K40" s="33">
        <f>0+G40</f>
        <v>4632.65</v>
      </c>
      <c r="L40" s="33">
        <f>L41+L42+L43</f>
        <v>20901.940000000002</v>
      </c>
      <c r="M40" s="34">
        <f>E40-K40</f>
        <v>4213.35</v>
      </c>
      <c r="N40" s="63">
        <f aca="true" t="shared" si="2" ref="M40:N54">F40-L40</f>
        <v>33482.06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8538+E41</f>
        <v>11384</v>
      </c>
      <c r="G41" s="62">
        <v>1971.75</v>
      </c>
      <c r="H41" s="62"/>
      <c r="I41" s="62"/>
      <c r="J41" s="62"/>
      <c r="K41" s="33">
        <f>0+G41</f>
        <v>1971.75</v>
      </c>
      <c r="L41" s="33">
        <f>6615.49+K41</f>
        <v>8587.24</v>
      </c>
      <c r="M41" s="34">
        <f t="shared" si="2"/>
        <v>874.25</v>
      </c>
      <c r="N41" s="63">
        <f t="shared" si="2"/>
        <v>2796.76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34000+E42</f>
        <v>40000</v>
      </c>
      <c r="G42" s="62">
        <v>2660.9</v>
      </c>
      <c r="H42" s="62"/>
      <c r="I42" s="62"/>
      <c r="J42" s="62"/>
      <c r="K42" s="33">
        <f>0+G42</f>
        <v>2660.9</v>
      </c>
      <c r="L42" s="33">
        <f>7540.8+K42</f>
        <v>10201.7</v>
      </c>
      <c r="M42" s="34">
        <f t="shared" si="2"/>
        <v>3339.1</v>
      </c>
      <c r="N42" s="63">
        <f t="shared" si="2"/>
        <v>29798.3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36.75" customHeight="1" thickBot="1">
      <c r="A44" s="51" t="s">
        <v>69</v>
      </c>
      <c r="B44" s="357" t="s">
        <v>70</v>
      </c>
      <c r="C44" s="358"/>
      <c r="D44" s="359"/>
      <c r="E44" s="53">
        <f>SUM(E47:E49)</f>
        <v>239000</v>
      </c>
      <c r="F44" s="73">
        <f>F45+F46+F47</f>
        <v>849000</v>
      </c>
      <c r="G44" s="55">
        <f>G45+G46+G47</f>
        <v>196718</v>
      </c>
      <c r="H44" s="75"/>
      <c r="I44" s="75"/>
      <c r="J44" s="54"/>
      <c r="K44" s="55">
        <f>K45+K46+K47</f>
        <v>196718</v>
      </c>
      <c r="L44" s="55">
        <f>L45+L46+L47</f>
        <v>664976</v>
      </c>
      <c r="M44" s="56">
        <f t="shared" si="2"/>
        <v>42282</v>
      </c>
      <c r="N44" s="158">
        <f t="shared" si="2"/>
        <v>184024</v>
      </c>
      <c r="O44" s="58">
        <v>0</v>
      </c>
      <c r="P44" s="59">
        <v>0</v>
      </c>
      <c r="Q44" s="1"/>
      <c r="R44" s="1"/>
    </row>
    <row r="45" spans="1:18" ht="30.75" customHeight="1" thickBot="1">
      <c r="A45" s="60" t="s">
        <v>71</v>
      </c>
      <c r="B45" s="301" t="s">
        <v>53</v>
      </c>
      <c r="C45" s="302"/>
      <c r="D45" s="303"/>
      <c r="E45" s="155">
        <f>E48+E49</f>
        <v>239000</v>
      </c>
      <c r="F45" s="31">
        <f>F48+F49+F50</f>
        <v>849000</v>
      </c>
      <c r="G45" s="33">
        <f>G48+G49</f>
        <v>196718</v>
      </c>
      <c r="H45" s="74"/>
      <c r="I45" s="74"/>
      <c r="J45" s="62"/>
      <c r="K45" s="33">
        <f>0+G45</f>
        <v>196718</v>
      </c>
      <c r="L45" s="33">
        <f>L48+L49</f>
        <v>664976</v>
      </c>
      <c r="M45" s="34">
        <f t="shared" si="2"/>
        <v>42282</v>
      </c>
      <c r="N45" s="35">
        <f t="shared" si="2"/>
        <v>184024</v>
      </c>
      <c r="O45" s="64">
        <v>0</v>
      </c>
      <c r="P45" s="65">
        <v>0</v>
      </c>
      <c r="Q45" s="1"/>
      <c r="R45" s="1"/>
    </row>
    <row r="46" spans="1:18" ht="17.2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30.75" customHeight="1" thickBot="1">
      <c r="A48" s="60" t="s">
        <v>74</v>
      </c>
      <c r="B48" s="308" t="s">
        <v>75</v>
      </c>
      <c r="C48" s="309"/>
      <c r="D48" s="310"/>
      <c r="E48" s="156">
        <v>239000</v>
      </c>
      <c r="F48" s="31">
        <f>590000+E48</f>
        <v>829000</v>
      </c>
      <c r="G48" s="74">
        <v>195187.5</v>
      </c>
      <c r="H48" s="74"/>
      <c r="I48" s="74"/>
      <c r="J48" s="62"/>
      <c r="K48" s="33">
        <f>0+G48</f>
        <v>195187.5</v>
      </c>
      <c r="L48" s="33">
        <f>464203+K48</f>
        <v>659390.5</v>
      </c>
      <c r="M48" s="34">
        <f>E48-K48</f>
        <v>43812.5</v>
      </c>
      <c r="N48" s="63">
        <f t="shared" si="2"/>
        <v>169609.5</v>
      </c>
      <c r="O48" s="64">
        <v>0</v>
      </c>
      <c r="P48" s="65">
        <v>0</v>
      </c>
      <c r="Q48" s="1"/>
      <c r="R48" s="37"/>
    </row>
    <row r="49" spans="1:18" ht="28.5" customHeight="1" thickBot="1">
      <c r="A49" s="60" t="s">
        <v>76</v>
      </c>
      <c r="B49" s="308" t="s">
        <v>77</v>
      </c>
      <c r="C49" s="309"/>
      <c r="D49" s="310"/>
      <c r="E49" s="156"/>
      <c r="F49" s="31">
        <f>20000+E49</f>
        <v>20000</v>
      </c>
      <c r="G49" s="74">
        <v>1530.5</v>
      </c>
      <c r="H49" s="74"/>
      <c r="I49" s="74"/>
      <c r="J49" s="62"/>
      <c r="K49" s="33">
        <f t="shared" si="3"/>
        <v>1530.5</v>
      </c>
      <c r="L49" s="33">
        <f>4055+K49</f>
        <v>5585.5</v>
      </c>
      <c r="M49" s="34">
        <f t="shared" si="2"/>
        <v>-1530.5</v>
      </c>
      <c r="N49" s="63">
        <f t="shared" si="2"/>
        <v>14414.5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>0+K51</f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15.75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>0+K52</f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3.25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>0+K53</f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.75" customHeight="1" thickBot="1">
      <c r="A54" s="51" t="s">
        <v>84</v>
      </c>
      <c r="B54" s="357" t="s">
        <v>85</v>
      </c>
      <c r="C54" s="358"/>
      <c r="D54" s="359"/>
      <c r="E54" s="53">
        <f>SUM(E59:E63)</f>
        <v>198200</v>
      </c>
      <c r="F54" s="73">
        <f>F56+F58</f>
        <v>1174700</v>
      </c>
      <c r="G54" s="55">
        <f>G55+G57+G58</f>
        <v>10400.42</v>
      </c>
      <c r="H54" s="55">
        <f>H56</f>
        <v>388911.20999999996</v>
      </c>
      <c r="I54" s="55"/>
      <c r="J54" s="55">
        <f>J55+J56+J57+J58</f>
        <v>0</v>
      </c>
      <c r="K54" s="55">
        <f>K55+K56+K57</f>
        <v>399311.62999999995</v>
      </c>
      <c r="L54" s="55">
        <f>L55+L56+L57+L58</f>
        <v>1244520.98</v>
      </c>
      <c r="M54" s="56">
        <f t="shared" si="2"/>
        <v>-201111.62999999995</v>
      </c>
      <c r="N54" s="70">
        <f t="shared" si="2"/>
        <v>-69820.97999999998</v>
      </c>
      <c r="O54" s="58">
        <v>0</v>
      </c>
      <c r="P54" s="59">
        <v>0</v>
      </c>
      <c r="Q54" s="1"/>
      <c r="R54" s="37">
        <f>F59+F60+F62+F63-F58</f>
        <v>1174700</v>
      </c>
    </row>
    <row r="55" spans="1:18" ht="27.75" customHeight="1" thickBot="1">
      <c r="A55" s="60" t="s">
        <v>86</v>
      </c>
      <c r="B55" s="301" t="s">
        <v>53</v>
      </c>
      <c r="C55" s="302"/>
      <c r="D55" s="303"/>
      <c r="G55" s="33">
        <f>G60+G62+G63+G59</f>
        <v>10400.42</v>
      </c>
      <c r="H55" s="33"/>
      <c r="I55" s="33"/>
      <c r="J55" s="33"/>
      <c r="K55" s="33">
        <f>G55</f>
        <v>10400.42</v>
      </c>
      <c r="L55" s="33">
        <f>263877.52+K55</f>
        <v>274277.94</v>
      </c>
      <c r="M55" s="34">
        <f>E55-K55</f>
        <v>-10400.42</v>
      </c>
      <c r="N55" s="63">
        <f>F55-L55</f>
        <v>-274277.94</v>
      </c>
      <c r="O55" s="64">
        <v>0</v>
      </c>
      <c r="P55" s="65">
        <v>0</v>
      </c>
      <c r="Q55" s="1"/>
      <c r="R55" s="37"/>
    </row>
    <row r="56" spans="1:18" ht="26.25" customHeight="1" thickBot="1">
      <c r="A56" s="60" t="s">
        <v>87</v>
      </c>
      <c r="B56" s="388" t="s">
        <v>88</v>
      </c>
      <c r="C56" s="389"/>
      <c r="D56" s="390"/>
      <c r="E56" s="208">
        <f>E59+E60+E62+E63-E58</f>
        <v>198200</v>
      </c>
      <c r="F56" s="31">
        <f>976500+E56</f>
        <v>1174700</v>
      </c>
      <c r="H56" s="33">
        <f>H59+H62+H60+H63</f>
        <v>388911.20999999996</v>
      </c>
      <c r="I56" s="33"/>
      <c r="J56" s="33"/>
      <c r="K56" s="33">
        <f>H56</f>
        <v>388911.20999999996</v>
      </c>
      <c r="L56" s="33">
        <f>568733.33+K56</f>
        <v>957644.5399999999</v>
      </c>
      <c r="M56" s="34">
        <f>E56+-K56</f>
        <v>-190711.20999999996</v>
      </c>
      <c r="N56" s="35">
        <f>F56-L56</f>
        <v>217055.46000000008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>0+G57</f>
        <v>0</v>
      </c>
      <c r="L57" s="33">
        <f>0+K57</f>
        <v>0</v>
      </c>
      <c r="M57" s="34">
        <f>E57-K57</f>
        <v>0</v>
      </c>
      <c r="N57" s="63">
        <f>F57-L57</f>
        <v>0</v>
      </c>
      <c r="O57" s="64">
        <v>0</v>
      </c>
      <c r="P57" s="65">
        <v>0</v>
      </c>
      <c r="Q57" s="1"/>
      <c r="R57" s="37">
        <f>L59+L60+L61+L62+L63</f>
        <v>1244520.98</v>
      </c>
    </row>
    <row r="58" spans="1:18" ht="31.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>E58-K58</f>
        <v>0</v>
      </c>
      <c r="N58" s="35">
        <f>F58-L58</f>
        <v>-12598.5</v>
      </c>
      <c r="O58" s="64">
        <v>0</v>
      </c>
      <c r="P58" s="65">
        <v>0</v>
      </c>
      <c r="Q58" s="1"/>
      <c r="R58" s="37">
        <f>F59+F60+F62+F63</f>
        <v>1174700</v>
      </c>
    </row>
    <row r="59" spans="1:18" ht="30" customHeight="1" thickBot="1">
      <c r="A59" s="60" t="s">
        <v>91</v>
      </c>
      <c r="B59" s="396" t="s">
        <v>92</v>
      </c>
      <c r="C59" s="397"/>
      <c r="D59" s="398"/>
      <c r="E59" s="156">
        <v>60000</v>
      </c>
      <c r="F59" s="31">
        <f>213000+E59</f>
        <v>273000</v>
      </c>
      <c r="G59" s="74"/>
      <c r="H59" s="74">
        <v>189796.91</v>
      </c>
      <c r="I59" s="74"/>
      <c r="J59" s="33"/>
      <c r="K59" s="33">
        <f>J59+G59+H59</f>
        <v>189796.91</v>
      </c>
      <c r="L59" s="33">
        <f>83380.55+K59</f>
        <v>273177.46</v>
      </c>
      <c r="M59" s="34">
        <f aca="true" t="shared" si="4" ref="M59:N71">E59-K59</f>
        <v>-129796.91</v>
      </c>
      <c r="N59" s="35">
        <f t="shared" si="4"/>
        <v>-177.46000000002095</v>
      </c>
      <c r="O59" s="64">
        <v>0</v>
      </c>
      <c r="P59" s="65">
        <v>0</v>
      </c>
      <c r="Q59" s="1"/>
      <c r="R59" s="80"/>
    </row>
    <row r="60" spans="1:18" ht="21.75" customHeight="1" thickBot="1">
      <c r="A60" s="60" t="s">
        <v>93</v>
      </c>
      <c r="B60" s="325" t="s">
        <v>94</v>
      </c>
      <c r="C60" s="326"/>
      <c r="D60" s="326"/>
      <c r="E60" s="152">
        <v>120000</v>
      </c>
      <c r="F60" s="31">
        <f>710000+E60</f>
        <v>830000</v>
      </c>
      <c r="G60" s="74"/>
      <c r="H60" s="74">
        <v>199114.3</v>
      </c>
      <c r="I60" s="74"/>
      <c r="J60" s="33"/>
      <c r="K60" s="33">
        <f>H60+G60</f>
        <v>199114.3</v>
      </c>
      <c r="L60" s="33">
        <f>728414.71+K60</f>
        <v>927529.01</v>
      </c>
      <c r="M60" s="34">
        <f t="shared" si="4"/>
        <v>-79114.29999999999</v>
      </c>
      <c r="N60" s="63">
        <f t="shared" si="4"/>
        <v>-97529.01000000001</v>
      </c>
      <c r="O60" s="64">
        <v>0</v>
      </c>
      <c r="P60" s="65">
        <v>0</v>
      </c>
      <c r="Q60" s="1"/>
      <c r="R60" s="37"/>
    </row>
    <row r="61" spans="1:18" ht="18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0+G61</f>
        <v>0</v>
      </c>
      <c r="L61" s="33">
        <f>0+K61</f>
        <v>0</v>
      </c>
      <c r="M61" s="34">
        <f t="shared" si="4"/>
        <v>0</v>
      </c>
      <c r="N61" s="63">
        <f t="shared" si="4"/>
        <v>0</v>
      </c>
      <c r="O61" s="64">
        <v>0</v>
      </c>
      <c r="P61" s="65">
        <v>0</v>
      </c>
      <c r="Q61" s="1"/>
      <c r="R61" s="1"/>
    </row>
    <row r="62" spans="1:18" ht="21" customHeight="1" thickBot="1">
      <c r="A62" s="60" t="s">
        <v>96</v>
      </c>
      <c r="B62" s="325" t="s">
        <v>97</v>
      </c>
      <c r="C62" s="326"/>
      <c r="D62" s="327"/>
      <c r="E62" s="152">
        <v>9600</v>
      </c>
      <c r="F62" s="31">
        <f>28200+E62</f>
        <v>37800</v>
      </c>
      <c r="G62" s="83">
        <v>5555.43</v>
      </c>
      <c r="H62" s="84"/>
      <c r="I62" s="74"/>
      <c r="J62" s="74"/>
      <c r="K62" s="33">
        <f>J62+G62</f>
        <v>5555.43</v>
      </c>
      <c r="L62" s="33">
        <f>17848.29+K62</f>
        <v>23403.72</v>
      </c>
      <c r="M62" s="34">
        <f t="shared" si="4"/>
        <v>4044.5699999999997</v>
      </c>
      <c r="N62" s="63">
        <f t="shared" si="4"/>
        <v>14396.279999999999</v>
      </c>
      <c r="O62" s="64">
        <v>0</v>
      </c>
      <c r="P62" s="65">
        <v>0</v>
      </c>
      <c r="Q62" s="1"/>
      <c r="R62" s="1"/>
    </row>
    <row r="63" spans="1:18" ht="30.75" customHeight="1" thickBot="1">
      <c r="A63" s="60" t="s">
        <v>98</v>
      </c>
      <c r="B63" s="325" t="s">
        <v>99</v>
      </c>
      <c r="C63" s="326"/>
      <c r="D63" s="327"/>
      <c r="E63" s="156">
        <v>8600</v>
      </c>
      <c r="F63" s="31">
        <f>25300+E63</f>
        <v>33900</v>
      </c>
      <c r="G63" s="85">
        <v>4844.99</v>
      </c>
      <c r="H63" s="74"/>
      <c r="I63" s="74"/>
      <c r="J63" s="74"/>
      <c r="K63" s="33">
        <f>J63+G63</f>
        <v>4844.99</v>
      </c>
      <c r="L63" s="33">
        <f>15565.8+K63</f>
        <v>20410.79</v>
      </c>
      <c r="M63" s="34">
        <f t="shared" si="4"/>
        <v>3755.01</v>
      </c>
      <c r="N63" s="63">
        <f t="shared" si="4"/>
        <v>13489.21</v>
      </c>
      <c r="O63" s="64">
        <v>0</v>
      </c>
      <c r="P63" s="65">
        <v>0</v>
      </c>
      <c r="Q63" s="1"/>
      <c r="R63" s="1"/>
    </row>
    <row r="64" spans="1:18" ht="33.75" customHeight="1" thickBot="1">
      <c r="A64" s="86" t="s">
        <v>100</v>
      </c>
      <c r="B64" s="382" t="s">
        <v>101</v>
      </c>
      <c r="C64" s="383"/>
      <c r="D64" s="384"/>
      <c r="E64" s="53">
        <f>E65</f>
        <v>0</v>
      </c>
      <c r="F64" s="73">
        <f>F65+F66</f>
        <v>200000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6700</v>
      </c>
      <c r="M64" s="56">
        <f t="shared" si="4"/>
        <v>0</v>
      </c>
      <c r="N64" s="70">
        <f t="shared" si="4"/>
        <v>193300</v>
      </c>
      <c r="O64" s="58">
        <v>0</v>
      </c>
      <c r="P64" s="59">
        <v>0</v>
      </c>
      <c r="Q64" s="1"/>
      <c r="R64" s="1"/>
    </row>
    <row r="65" spans="1:18" ht="31.5" customHeight="1" thickBot="1">
      <c r="A65" s="60" t="s">
        <v>102</v>
      </c>
      <c r="B65" s="301" t="s">
        <v>53</v>
      </c>
      <c r="C65" s="302"/>
      <c r="D65" s="303"/>
      <c r="E65" s="45"/>
      <c r="F65" s="31">
        <f>200000+E65</f>
        <v>200000</v>
      </c>
      <c r="G65" s="74"/>
      <c r="H65" s="33"/>
      <c r="I65" s="33"/>
      <c r="J65" s="33"/>
      <c r="K65" s="33">
        <f>0+G65</f>
        <v>0</v>
      </c>
      <c r="L65" s="33">
        <f>6700+K65</f>
        <v>6700</v>
      </c>
      <c r="M65" s="34">
        <f t="shared" si="4"/>
        <v>0</v>
      </c>
      <c r="N65" s="35">
        <f t="shared" si="4"/>
        <v>193300</v>
      </c>
      <c r="O65" s="64">
        <v>0</v>
      </c>
      <c r="P65" s="65">
        <v>0</v>
      </c>
      <c r="Q65" s="1"/>
      <c r="R65" s="1"/>
    </row>
    <row r="66" spans="1:18" ht="33" customHeight="1" thickBot="1">
      <c r="A66" s="60" t="s">
        <v>103</v>
      </c>
      <c r="B66" s="388" t="s">
        <v>104</v>
      </c>
      <c r="C66" s="389"/>
      <c r="D66" s="3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4"/>
        <v>0</v>
      </c>
      <c r="N66" s="35">
        <f t="shared" si="4"/>
        <v>0</v>
      </c>
      <c r="O66" s="64">
        <v>0</v>
      </c>
      <c r="P66" s="65">
        <v>0</v>
      </c>
      <c r="Q66" s="1"/>
      <c r="R66" s="1"/>
    </row>
    <row r="67" spans="1:18" ht="38.2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L68+L69+L70</f>
        <v>25730</v>
      </c>
      <c r="M67" s="56">
        <f t="shared" si="4"/>
        <v>0</v>
      </c>
      <c r="N67" s="70">
        <f t="shared" si="4"/>
        <v>74270</v>
      </c>
      <c r="O67" s="58">
        <v>0</v>
      </c>
      <c r="P67" s="59">
        <v>0</v>
      </c>
      <c r="Q67" s="1"/>
      <c r="R67" s="37"/>
    </row>
    <row r="68" spans="1:18" ht="31.5" customHeight="1" thickBot="1">
      <c r="A68" s="60" t="s">
        <v>107</v>
      </c>
      <c r="B68" s="319" t="s">
        <v>53</v>
      </c>
      <c r="C68" s="320"/>
      <c r="D68" s="321"/>
      <c r="E68" s="61"/>
      <c r="F68" s="31">
        <f>100000+E68</f>
        <v>100000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0</v>
      </c>
      <c r="N68" s="35">
        <f t="shared" si="4"/>
        <v>99000</v>
      </c>
      <c r="O68" s="64">
        <v>0</v>
      </c>
      <c r="P68" s="65">
        <v>0</v>
      </c>
      <c r="Q68" s="1"/>
      <c r="R68" s="37"/>
    </row>
    <row r="69" spans="1:18" ht="30.75" customHeight="1" thickBot="1">
      <c r="A69" s="60" t="s">
        <v>108</v>
      </c>
      <c r="B69" s="301" t="s">
        <v>104</v>
      </c>
      <c r="C69" s="302"/>
      <c r="D69" s="303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 t="shared" si="4"/>
        <v>0</v>
      </c>
      <c r="N69" s="35">
        <f t="shared" si="4"/>
        <v>-24730</v>
      </c>
      <c r="O69" s="64">
        <v>0</v>
      </c>
      <c r="P69" s="65">
        <v>0</v>
      </c>
      <c r="Q69" s="1"/>
      <c r="R69" s="37"/>
    </row>
    <row r="70" spans="1:18" ht="30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4"/>
        <v>0</v>
      </c>
      <c r="N70" s="35">
        <f t="shared" si="4"/>
        <v>0</v>
      </c>
      <c r="O70" s="64">
        <v>0</v>
      </c>
      <c r="P70" s="65">
        <v>0</v>
      </c>
      <c r="Q70" s="1"/>
      <c r="R70" s="37"/>
    </row>
    <row r="71" spans="1:18" ht="30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12000</v>
      </c>
      <c r="G71" s="75">
        <f>G72+G73</f>
        <v>260</v>
      </c>
      <c r="H71" s="55"/>
      <c r="I71" s="55"/>
      <c r="J71" s="55"/>
      <c r="K71" s="55">
        <f>G71</f>
        <v>260</v>
      </c>
      <c r="L71" s="55">
        <f>L72</f>
        <v>38701</v>
      </c>
      <c r="M71" s="56">
        <f t="shared" si="4"/>
        <v>2740</v>
      </c>
      <c r="N71" s="70">
        <f t="shared" si="4"/>
        <v>-26701</v>
      </c>
      <c r="O71" s="58">
        <v>0</v>
      </c>
      <c r="P71" s="59">
        <v>0</v>
      </c>
      <c r="Q71" s="1"/>
      <c r="R71" s="1"/>
    </row>
    <row r="72" spans="1:18" ht="32.25" customHeight="1" thickBot="1">
      <c r="A72" s="60" t="s">
        <v>107</v>
      </c>
      <c r="B72" s="301" t="s">
        <v>53</v>
      </c>
      <c r="C72" s="302"/>
      <c r="D72" s="303"/>
      <c r="E72" s="155">
        <v>3000</v>
      </c>
      <c r="F72" s="31">
        <f>9000+E72</f>
        <v>12000</v>
      </c>
      <c r="G72" s="74">
        <v>260</v>
      </c>
      <c r="H72" s="33"/>
      <c r="I72" s="33"/>
      <c r="J72" s="33"/>
      <c r="K72" s="33">
        <f>G72</f>
        <v>260</v>
      </c>
      <c r="L72" s="33">
        <f>38441+K72</f>
        <v>38701</v>
      </c>
      <c r="M72" s="34">
        <f aca="true" t="shared" si="5" ref="M72:N82">E72-K72</f>
        <v>2740</v>
      </c>
      <c r="N72" s="35">
        <f t="shared" si="5"/>
        <v>-26701</v>
      </c>
      <c r="O72" s="64">
        <v>0</v>
      </c>
      <c r="P72" s="65">
        <v>0</v>
      </c>
      <c r="Q72" s="1"/>
      <c r="R72" s="1"/>
    </row>
    <row r="73" spans="1:18" ht="33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5"/>
        <v>0</v>
      </c>
      <c r="N73" s="35">
        <f t="shared" si="5"/>
        <v>0</v>
      </c>
      <c r="O73" s="64">
        <v>0</v>
      </c>
      <c r="P73" s="65">
        <v>0</v>
      </c>
      <c r="Q73" s="1"/>
      <c r="R73" s="1"/>
    </row>
    <row r="74" spans="1:18" ht="50.25" customHeight="1" thickBot="1">
      <c r="A74" s="87" t="s">
        <v>112</v>
      </c>
      <c r="B74" s="379" t="s">
        <v>113</v>
      </c>
      <c r="C74" s="380"/>
      <c r="D74" s="381"/>
      <c r="E74" s="53">
        <f>E75</f>
        <v>20000</v>
      </c>
      <c r="F74" s="73">
        <f>F75+F76</f>
        <v>112000</v>
      </c>
      <c r="G74" s="75">
        <f>G75+G76+G77</f>
        <v>3365</v>
      </c>
      <c r="H74" s="55"/>
      <c r="I74" s="55">
        <f>I75+I76</f>
        <v>0</v>
      </c>
      <c r="J74" s="55"/>
      <c r="K74" s="55">
        <f>K75+K76+K77</f>
        <v>3365</v>
      </c>
      <c r="L74" s="55">
        <f>L75+L76+L77</f>
        <v>20942</v>
      </c>
      <c r="M74" s="56">
        <f t="shared" si="5"/>
        <v>16635</v>
      </c>
      <c r="N74" s="70">
        <f t="shared" si="5"/>
        <v>91058</v>
      </c>
      <c r="O74" s="58">
        <v>0</v>
      </c>
      <c r="P74" s="59">
        <v>0</v>
      </c>
      <c r="Q74" s="1"/>
      <c r="R74" s="1"/>
    </row>
    <row r="75" spans="1:18" ht="30.75" customHeight="1" thickBot="1">
      <c r="A75" s="60" t="s">
        <v>114</v>
      </c>
      <c r="B75" s="301" t="s">
        <v>53</v>
      </c>
      <c r="C75" s="302"/>
      <c r="D75" s="303"/>
      <c r="E75" s="61">
        <v>20000</v>
      </c>
      <c r="F75" s="31">
        <f>92000+E75</f>
        <v>112000</v>
      </c>
      <c r="G75" s="74">
        <v>3365</v>
      </c>
      <c r="H75" s="33"/>
      <c r="I75" s="33"/>
      <c r="J75" s="33"/>
      <c r="K75" s="33">
        <f>G75</f>
        <v>3365</v>
      </c>
      <c r="L75" s="33">
        <f>14577+K75</f>
        <v>17942</v>
      </c>
      <c r="M75" s="34">
        <f>E75-K75</f>
        <v>16635</v>
      </c>
      <c r="N75" s="35">
        <f t="shared" si="5"/>
        <v>94058</v>
      </c>
      <c r="O75" s="64">
        <v>0</v>
      </c>
      <c r="P75" s="65">
        <v>0</v>
      </c>
      <c r="Q75" s="1"/>
      <c r="R75" s="1"/>
    </row>
    <row r="76" spans="1:18" ht="33" customHeight="1" thickBot="1">
      <c r="A76" s="60" t="s">
        <v>115</v>
      </c>
      <c r="B76" s="388" t="s">
        <v>104</v>
      </c>
      <c r="C76" s="389"/>
      <c r="D76" s="390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5"/>
        <v>0</v>
      </c>
      <c r="N76" s="35">
        <f t="shared" si="5"/>
        <v>-3000</v>
      </c>
      <c r="O76" s="64">
        <v>0</v>
      </c>
      <c r="P76" s="65">
        <v>0</v>
      </c>
      <c r="Q76" s="1"/>
      <c r="R76" s="1"/>
    </row>
    <row r="77" spans="1:18" ht="30.75" customHeight="1" thickBot="1">
      <c r="A77" s="60" t="s">
        <v>116</v>
      </c>
      <c r="B77" s="301" t="s">
        <v>55</v>
      </c>
      <c r="C77" s="302"/>
      <c r="D77" s="303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5"/>
        <v>0</v>
      </c>
      <c r="N77" s="35">
        <f t="shared" si="5"/>
        <v>0</v>
      </c>
      <c r="O77" s="64">
        <v>0</v>
      </c>
      <c r="P77" s="65">
        <v>0</v>
      </c>
      <c r="Q77" s="1"/>
      <c r="R77" s="1"/>
    </row>
    <row r="78" spans="1:18" ht="47.25" customHeight="1" thickBot="1">
      <c r="A78" s="69" t="s">
        <v>117</v>
      </c>
      <c r="B78" s="357" t="s">
        <v>118</v>
      </c>
      <c r="C78" s="358"/>
      <c r="D78" s="359"/>
      <c r="E78" s="53">
        <f>E79</f>
        <v>1000</v>
      </c>
      <c r="F78" s="73">
        <f>F79</f>
        <v>2500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5"/>
        <v>1000</v>
      </c>
      <c r="N78" s="70">
        <f t="shared" si="5"/>
        <v>2500</v>
      </c>
      <c r="O78" s="58">
        <v>0</v>
      </c>
      <c r="P78" s="59">
        <v>0</v>
      </c>
      <c r="Q78" s="1"/>
      <c r="R78" s="1"/>
    </row>
    <row r="79" spans="1:18" ht="34.5" customHeight="1" thickBot="1">
      <c r="A79" s="60" t="s">
        <v>119</v>
      </c>
      <c r="B79" s="301" t="s">
        <v>53</v>
      </c>
      <c r="C79" s="302"/>
      <c r="D79" s="303"/>
      <c r="E79" s="81">
        <v>1000</v>
      </c>
      <c r="F79" s="31">
        <f>1500+E79</f>
        <v>2500</v>
      </c>
      <c r="G79" s="74">
        <v>0</v>
      </c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1000</v>
      </c>
      <c r="N79" s="35">
        <f t="shared" si="5"/>
        <v>2500</v>
      </c>
      <c r="O79" s="64">
        <v>0</v>
      </c>
      <c r="P79" s="65">
        <v>0</v>
      </c>
      <c r="Q79" s="1"/>
      <c r="R79" s="1"/>
    </row>
    <row r="80" spans="1:18" ht="25.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5"/>
        <v>0</v>
      </c>
      <c r="N80" s="70">
        <f t="shared" si="5"/>
        <v>18500</v>
      </c>
      <c r="O80" s="58">
        <v>0</v>
      </c>
      <c r="P80" s="59">
        <v>0</v>
      </c>
      <c r="Q80" s="1"/>
      <c r="R80" s="1"/>
    </row>
    <row r="81" spans="1:18" ht="33" customHeight="1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5"/>
        <v>0</v>
      </c>
      <c r="N81" s="35">
        <f t="shared" si="5"/>
        <v>18500</v>
      </c>
      <c r="O81" s="64">
        <v>0</v>
      </c>
      <c r="P81" s="65">
        <v>0</v>
      </c>
      <c r="Q81" s="1"/>
      <c r="R81" s="1"/>
    </row>
    <row r="82" spans="1:18" ht="28.5" customHeight="1" thickBot="1">
      <c r="A82" s="60" t="s">
        <v>123</v>
      </c>
      <c r="B82" s="388" t="s">
        <v>55</v>
      </c>
      <c r="C82" s="389"/>
      <c r="D82" s="3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5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3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88.5" customHeight="1" thickBot="1">
      <c r="A86" s="361"/>
      <c r="B86" s="371"/>
      <c r="C86" s="372"/>
      <c r="D86" s="373"/>
      <c r="E86" s="375"/>
      <c r="F86" s="377"/>
      <c r="G86" s="167" t="s">
        <v>45</v>
      </c>
      <c r="H86" s="167" t="s">
        <v>46</v>
      </c>
      <c r="I86" s="167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167">
        <v>3</v>
      </c>
      <c r="G87" s="167">
        <v>4</v>
      </c>
      <c r="H87" s="167">
        <v>5</v>
      </c>
      <c r="I87" s="7">
        <v>6</v>
      </c>
      <c r="J87" s="7">
        <v>7</v>
      </c>
      <c r="K87" s="48">
        <v>8</v>
      </c>
      <c r="L87" s="164">
        <v>9</v>
      </c>
      <c r="M87" s="7">
        <v>10</v>
      </c>
      <c r="N87" s="164">
        <v>11</v>
      </c>
      <c r="O87" s="7">
        <v>12</v>
      </c>
      <c r="P87" s="164">
        <v>13</v>
      </c>
      <c r="Q87" s="1"/>
      <c r="R87" s="1"/>
    </row>
    <row r="88" spans="1:18" ht="43.5" customHeight="1" thickBot="1">
      <c r="A88" s="51" t="s">
        <v>125</v>
      </c>
      <c r="B88" s="357" t="s">
        <v>126</v>
      </c>
      <c r="C88" s="358"/>
      <c r="D88" s="359"/>
      <c r="E88" s="53">
        <f>E89</f>
        <v>36450</v>
      </c>
      <c r="F88" s="73">
        <f>F89+F90+F91+F92</f>
        <v>131800</v>
      </c>
      <c r="G88" s="53">
        <f>G89+G90+G91+G92</f>
        <v>20340.96</v>
      </c>
      <c r="H88" s="55"/>
      <c r="I88" s="55">
        <f>I89+I90+I91</f>
        <v>0</v>
      </c>
      <c r="J88" s="55">
        <f>J92</f>
        <v>16.8</v>
      </c>
      <c r="K88" s="93">
        <f>K89+K90+K91+K92</f>
        <v>20357.76</v>
      </c>
      <c r="L88" s="55">
        <f>L89+L90+L91+L92</f>
        <v>91661.05999999998</v>
      </c>
      <c r="M88" s="56">
        <f aca="true" t="shared" si="6" ref="M88:N103">E88-K88</f>
        <v>16092.240000000002</v>
      </c>
      <c r="N88" s="70">
        <f t="shared" si="6"/>
        <v>40138.94000000002</v>
      </c>
      <c r="O88" s="58">
        <v>0</v>
      </c>
      <c r="P88" s="59">
        <v>0</v>
      </c>
      <c r="Q88" s="37"/>
      <c r="R88" s="1"/>
    </row>
    <row r="89" spans="1:18" ht="29.25" customHeight="1" thickBot="1">
      <c r="A89" s="60" t="s">
        <v>127</v>
      </c>
      <c r="B89" s="301" t="s">
        <v>53</v>
      </c>
      <c r="C89" s="302"/>
      <c r="D89" s="303"/>
      <c r="E89" s="155">
        <f>E93+E94+E96+E97+E98+E100+E99+E95</f>
        <v>36450</v>
      </c>
      <c r="F89" s="31">
        <f>F93+F94+F95+F96+F97+F98+F99+F100</f>
        <v>131800</v>
      </c>
      <c r="G89" s="45">
        <f>G93+G94+G96+G97+G98+G99+G100</f>
        <v>20340.96</v>
      </c>
      <c r="H89" s="33"/>
      <c r="I89" s="33"/>
      <c r="J89" s="33"/>
      <c r="K89" s="94">
        <f>G89</f>
        <v>20340.96</v>
      </c>
      <c r="L89" s="33">
        <f>71165.15+K89</f>
        <v>91506.10999999999</v>
      </c>
      <c r="M89" s="34">
        <f t="shared" si="6"/>
        <v>16109.04</v>
      </c>
      <c r="N89" s="35">
        <f t="shared" si="6"/>
        <v>40293.890000000014</v>
      </c>
      <c r="O89" s="64">
        <v>0</v>
      </c>
      <c r="P89" s="65">
        <v>0</v>
      </c>
      <c r="Q89" s="37"/>
      <c r="R89" s="1"/>
    </row>
    <row r="90" spans="1:18" ht="20.25" customHeight="1" thickBot="1">
      <c r="A90" s="60" t="s">
        <v>128</v>
      </c>
      <c r="B90" s="351" t="s">
        <v>51</v>
      </c>
      <c r="C90" s="352"/>
      <c r="D90" s="353"/>
      <c r="E90" s="61"/>
      <c r="F90" s="31"/>
      <c r="G90" s="45"/>
      <c r="H90" s="33"/>
      <c r="I90" s="33"/>
      <c r="J90" s="33"/>
      <c r="K90" s="94">
        <f>G90</f>
        <v>0</v>
      </c>
      <c r="L90" s="33"/>
      <c r="M90" s="34">
        <f t="shared" si="6"/>
        <v>0</v>
      </c>
      <c r="N90" s="35">
        <f t="shared" si="6"/>
        <v>0</v>
      </c>
      <c r="O90" s="64">
        <v>0</v>
      </c>
      <c r="P90" s="65">
        <v>0</v>
      </c>
      <c r="Q90" s="37"/>
      <c r="R90" s="71">
        <f>F93+F94+F96+F97+F98+F99+F100</f>
        <v>131800</v>
      </c>
    </row>
    <row r="91" spans="1:18" ht="33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59.4+K91</f>
        <v>59.4</v>
      </c>
      <c r="M91" s="34">
        <f t="shared" si="6"/>
        <v>0</v>
      </c>
      <c r="N91" s="35">
        <f t="shared" si="6"/>
        <v>-59.4</v>
      </c>
      <c r="O91" s="64">
        <v>0</v>
      </c>
      <c r="P91" s="65">
        <v>0</v>
      </c>
      <c r="Q91" s="37"/>
      <c r="R91" s="1"/>
    </row>
    <row r="92" spans="1:18" ht="29.2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16.8</v>
      </c>
      <c r="K92" s="94">
        <f>J92</f>
        <v>16.8</v>
      </c>
      <c r="L92" s="33">
        <f>78.75+K92</f>
        <v>95.55</v>
      </c>
      <c r="M92" s="34">
        <f t="shared" si="6"/>
        <v>-16.8</v>
      </c>
      <c r="N92" s="35">
        <f t="shared" si="6"/>
        <v>-95.55</v>
      </c>
      <c r="O92" s="64">
        <v>0</v>
      </c>
      <c r="P92" s="65">
        <v>0</v>
      </c>
      <c r="Q92" s="37"/>
      <c r="R92" s="80">
        <f>L93+L94+L95+L96+L97+L98+L99+L100</f>
        <v>91661.06</v>
      </c>
    </row>
    <row r="93" spans="1:18" ht="25.5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9450+E93</f>
        <v>12600</v>
      </c>
      <c r="G93" s="45">
        <v>3000</v>
      </c>
      <c r="H93" s="74"/>
      <c r="I93" s="74"/>
      <c r="J93" s="74"/>
      <c r="K93" s="94">
        <f>G93</f>
        <v>3000</v>
      </c>
      <c r="L93" s="33">
        <f>9000+K93</f>
        <v>12000</v>
      </c>
      <c r="M93" s="34">
        <f t="shared" si="6"/>
        <v>150</v>
      </c>
      <c r="N93" s="35">
        <f t="shared" si="6"/>
        <v>600</v>
      </c>
      <c r="O93" s="64">
        <v>0</v>
      </c>
      <c r="P93" s="65">
        <v>0</v>
      </c>
      <c r="Q93" s="1"/>
      <c r="R93" s="37">
        <f>L89+L90+L91+L92</f>
        <v>91661.05999999998</v>
      </c>
    </row>
    <row r="94" spans="1:18" ht="27.75" customHeight="1" thickBot="1">
      <c r="A94" s="60" t="s">
        <v>133</v>
      </c>
      <c r="B94" s="322" t="s">
        <v>134</v>
      </c>
      <c r="C94" s="323"/>
      <c r="D94" s="324"/>
      <c r="E94" s="156">
        <v>4800</v>
      </c>
      <c r="F94" s="31">
        <f>14400+E94</f>
        <v>19200</v>
      </c>
      <c r="G94" s="45"/>
      <c r="H94" s="74"/>
      <c r="I94" s="74"/>
      <c r="J94" s="74"/>
      <c r="K94" s="94">
        <f>G94</f>
        <v>0</v>
      </c>
      <c r="L94" s="33">
        <f>7950+K94</f>
        <v>7950</v>
      </c>
      <c r="M94" s="34">
        <f t="shared" si="6"/>
        <v>4800</v>
      </c>
      <c r="N94" s="35">
        <f t="shared" si="6"/>
        <v>11250</v>
      </c>
      <c r="O94" s="64">
        <v>0</v>
      </c>
      <c r="P94" s="65">
        <v>0</v>
      </c>
      <c r="Q94" s="1"/>
      <c r="R94" s="1"/>
    </row>
    <row r="95" spans="1:18" ht="30.75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>G95</f>
        <v>0</v>
      </c>
      <c r="L95" s="33">
        <f>0+K95</f>
        <v>0</v>
      </c>
      <c r="M95" s="34">
        <f t="shared" si="6"/>
        <v>0</v>
      </c>
      <c r="N95" s="35">
        <f t="shared" si="6"/>
        <v>0</v>
      </c>
      <c r="O95" s="64">
        <v>0</v>
      </c>
      <c r="P95" s="65">
        <v>0</v>
      </c>
      <c r="Q95" s="1"/>
      <c r="R95" s="1"/>
    </row>
    <row r="96" spans="1:18" ht="28.5" customHeight="1" thickBot="1">
      <c r="A96" s="60" t="s">
        <v>137</v>
      </c>
      <c r="B96" s="308" t="s">
        <v>138</v>
      </c>
      <c r="C96" s="309"/>
      <c r="D96" s="310"/>
      <c r="E96" s="156">
        <v>1300</v>
      </c>
      <c r="F96" s="31">
        <f>3900+E96</f>
        <v>5200</v>
      </c>
      <c r="G96" s="45">
        <v>1615</v>
      </c>
      <c r="H96" s="74"/>
      <c r="I96" s="74"/>
      <c r="J96" s="74"/>
      <c r="K96" s="94">
        <f>G96</f>
        <v>1615</v>
      </c>
      <c r="L96" s="33">
        <f>2720+K96</f>
        <v>4335</v>
      </c>
      <c r="M96" s="34">
        <f t="shared" si="6"/>
        <v>-315</v>
      </c>
      <c r="N96" s="35">
        <f t="shared" si="6"/>
        <v>865</v>
      </c>
      <c r="O96" s="64">
        <v>0</v>
      </c>
      <c r="P96" s="65">
        <v>0</v>
      </c>
      <c r="Q96" s="1"/>
      <c r="R96" s="1"/>
    </row>
    <row r="97" spans="1:18" ht="21" customHeight="1" thickBot="1">
      <c r="A97" s="60" t="s">
        <v>139</v>
      </c>
      <c r="B97" s="308" t="s">
        <v>140</v>
      </c>
      <c r="C97" s="309"/>
      <c r="D97" s="310"/>
      <c r="E97" s="156">
        <v>7000</v>
      </c>
      <c r="F97" s="31">
        <f>21000+E97</f>
        <v>28000</v>
      </c>
      <c r="G97" s="45">
        <v>6117.23</v>
      </c>
      <c r="H97" s="74"/>
      <c r="I97" s="74"/>
      <c r="J97" s="74">
        <v>16.8</v>
      </c>
      <c r="K97" s="94">
        <f>G97+I97+J97</f>
        <v>6134.03</v>
      </c>
      <c r="L97" s="33">
        <f>15619.84+K97</f>
        <v>21753.87</v>
      </c>
      <c r="M97" s="34">
        <f t="shared" si="6"/>
        <v>865.9700000000003</v>
      </c>
      <c r="N97" s="35">
        <f t="shared" si="6"/>
        <v>6246.130000000001</v>
      </c>
      <c r="O97" s="64">
        <v>0</v>
      </c>
      <c r="P97" s="65">
        <v>0</v>
      </c>
      <c r="Q97" s="1"/>
      <c r="R97" s="71">
        <f>F93+F94+F95+F96+F97+F98+F99+F100</f>
        <v>131800</v>
      </c>
    </row>
    <row r="98" spans="1:16" ht="24.75" customHeight="1" thickBot="1">
      <c r="A98" s="60" t="s">
        <v>141</v>
      </c>
      <c r="B98" s="463" t="s">
        <v>142</v>
      </c>
      <c r="C98" s="464"/>
      <c r="D98" s="465"/>
      <c r="E98" s="156">
        <v>3300</v>
      </c>
      <c r="F98" s="31">
        <f>9900+E98</f>
        <v>13200</v>
      </c>
      <c r="G98" s="45">
        <v>3250</v>
      </c>
      <c r="H98" s="74"/>
      <c r="I98" s="74"/>
      <c r="J98" s="74"/>
      <c r="K98" s="94">
        <f>G98</f>
        <v>3250</v>
      </c>
      <c r="L98" s="33">
        <f>1750+K98</f>
        <v>5000</v>
      </c>
      <c r="M98" s="34">
        <f t="shared" si="6"/>
        <v>50</v>
      </c>
      <c r="N98" s="35">
        <f t="shared" si="6"/>
        <v>8200</v>
      </c>
      <c r="O98" s="64">
        <v>0</v>
      </c>
      <c r="P98" s="65">
        <v>0</v>
      </c>
    </row>
    <row r="99" spans="1:16" ht="35.25" customHeight="1" thickBot="1">
      <c r="A99" s="60" t="s">
        <v>143</v>
      </c>
      <c r="B99" s="308" t="s">
        <v>144</v>
      </c>
      <c r="C99" s="309"/>
      <c r="D99" s="310"/>
      <c r="E99" s="156">
        <v>7000</v>
      </c>
      <c r="F99" s="31">
        <f>7000+E99</f>
        <v>14000</v>
      </c>
      <c r="G99" s="45"/>
      <c r="H99" s="74"/>
      <c r="I99" s="74"/>
      <c r="J99" s="74"/>
      <c r="K99" s="94">
        <f>G99</f>
        <v>0</v>
      </c>
      <c r="L99" s="33">
        <f>21546+K99</f>
        <v>21546</v>
      </c>
      <c r="M99" s="34">
        <f t="shared" si="6"/>
        <v>7000</v>
      </c>
      <c r="N99" s="35">
        <f t="shared" si="6"/>
        <v>-7546</v>
      </c>
      <c r="O99" s="64">
        <v>0</v>
      </c>
      <c r="P99" s="65">
        <v>0</v>
      </c>
    </row>
    <row r="100" spans="1:16" ht="25.5" customHeight="1" thickBot="1">
      <c r="A100" s="60" t="s">
        <v>145</v>
      </c>
      <c r="B100" s="308" t="s">
        <v>146</v>
      </c>
      <c r="C100" s="309"/>
      <c r="D100" s="310"/>
      <c r="E100" s="156">
        <v>9900</v>
      </c>
      <c r="F100" s="31">
        <f>29700+E100</f>
        <v>39600</v>
      </c>
      <c r="G100" s="45">
        <v>6358.73</v>
      </c>
      <c r="H100" s="74"/>
      <c r="I100" s="74"/>
      <c r="J100" s="74"/>
      <c r="K100" s="94">
        <f>G100</f>
        <v>6358.73</v>
      </c>
      <c r="L100" s="33">
        <f>12717.46+K100</f>
        <v>19076.19</v>
      </c>
      <c r="M100" s="34">
        <f t="shared" si="6"/>
        <v>3541.2700000000004</v>
      </c>
      <c r="N100" s="35">
        <f t="shared" si="6"/>
        <v>20523.81</v>
      </c>
      <c r="O100" s="64">
        <v>0</v>
      </c>
      <c r="P100" s="65">
        <v>0</v>
      </c>
    </row>
    <row r="101" spans="1:18" ht="32.25" customHeight="1" thickBot="1">
      <c r="A101" s="86" t="s">
        <v>147</v>
      </c>
      <c r="B101" s="354" t="s">
        <v>148</v>
      </c>
      <c r="C101" s="306"/>
      <c r="D101" s="307"/>
      <c r="E101" s="73">
        <f>E102+E103</f>
        <v>298300</v>
      </c>
      <c r="F101" s="73">
        <f>F102+F103+F104+F105</f>
        <v>680050</v>
      </c>
      <c r="G101" s="73">
        <f>G102+G104+G105</f>
        <v>163392.84</v>
      </c>
      <c r="H101" s="75">
        <f>H103</f>
        <v>0</v>
      </c>
      <c r="I101" s="55">
        <f>I104</f>
        <v>0</v>
      </c>
      <c r="J101" s="55">
        <f>J104</f>
        <v>0</v>
      </c>
      <c r="K101" s="73">
        <f>G101+H101+I101+J101</f>
        <v>163392.84</v>
      </c>
      <c r="L101" s="55">
        <f>L102+L103+L104+L105</f>
        <v>363009.12</v>
      </c>
      <c r="M101" s="56">
        <f t="shared" si="6"/>
        <v>134907.16</v>
      </c>
      <c r="N101" s="70">
        <f t="shared" si="6"/>
        <v>317040.88</v>
      </c>
      <c r="O101" s="58">
        <v>0</v>
      </c>
      <c r="P101" s="59">
        <v>0</v>
      </c>
      <c r="R101" s="95">
        <f>L102+L104-L101</f>
        <v>-399.5200000000186</v>
      </c>
    </row>
    <row r="102" spans="1:18" ht="30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E106+E107+E114+E119+E131+E113+E128+E115+E120+E127+E130+E132</f>
        <v>298300</v>
      </c>
      <c r="F102" s="31">
        <f>381750+E102</f>
        <v>680050</v>
      </c>
      <c r="G102" s="74">
        <f>G113+G106+G114+G118+G120+G128+G119+G130</f>
        <v>163392.84</v>
      </c>
      <c r="H102" s="74"/>
      <c r="I102" s="33"/>
      <c r="J102" s="33"/>
      <c r="K102" s="94">
        <f>G102</f>
        <v>163392.84</v>
      </c>
      <c r="L102" s="33">
        <f>199216.76+K102</f>
        <v>362609.6</v>
      </c>
      <c r="M102" s="34">
        <f t="shared" si="6"/>
        <v>134907.16</v>
      </c>
      <c r="N102" s="35">
        <f t="shared" si="6"/>
        <v>317440.4</v>
      </c>
      <c r="O102" s="64">
        <v>0</v>
      </c>
      <c r="P102" s="65">
        <v>0</v>
      </c>
      <c r="R102" s="95"/>
    </row>
    <row r="103" spans="1:18" ht="23.25" customHeight="1" thickBot="1">
      <c r="A103" s="60" t="s">
        <v>150</v>
      </c>
      <c r="B103" s="351" t="s">
        <v>51</v>
      </c>
      <c r="C103" s="352"/>
      <c r="D103" s="35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6"/>
        <v>0</v>
      </c>
      <c r="N103" s="35">
        <f t="shared" si="6"/>
        <v>0</v>
      </c>
      <c r="O103" s="64">
        <v>0</v>
      </c>
      <c r="P103" s="65">
        <v>0</v>
      </c>
      <c r="R103" s="96"/>
    </row>
    <row r="104" spans="1:16" ht="29.25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7" ref="M104:N120">E104-K104</f>
        <v>0</v>
      </c>
      <c r="N104" s="35">
        <f t="shared" si="7"/>
        <v>0</v>
      </c>
      <c r="O104" s="64">
        <v>0</v>
      </c>
      <c r="P104" s="65">
        <v>0</v>
      </c>
    </row>
    <row r="105" spans="1:18" ht="33" customHeight="1" thickBot="1">
      <c r="A105" s="60" t="s">
        <v>152</v>
      </c>
      <c r="B105" s="301" t="s">
        <v>55</v>
      </c>
      <c r="C105" s="302"/>
      <c r="D105" s="303"/>
      <c r="E105" s="61"/>
      <c r="F105" s="31"/>
      <c r="G105" s="74"/>
      <c r="H105" s="74"/>
      <c r="I105" s="33"/>
      <c r="J105" s="33"/>
      <c r="K105" s="94">
        <f>G105</f>
        <v>0</v>
      </c>
      <c r="L105" s="33">
        <f>399.52+K105</f>
        <v>399.52</v>
      </c>
      <c r="M105" s="34">
        <f t="shared" si="7"/>
        <v>0</v>
      </c>
      <c r="N105" s="35">
        <f t="shared" si="7"/>
        <v>-399.52</v>
      </c>
      <c r="O105" s="64">
        <v>0</v>
      </c>
      <c r="P105" s="65">
        <v>0</v>
      </c>
      <c r="R105" s="95">
        <f>L106+L113+L114+L118+L119+L131</f>
        <v>70958.53</v>
      </c>
    </row>
    <row r="106" spans="1:16" ht="29.25" customHeight="1" thickBot="1">
      <c r="A106" s="60" t="s">
        <v>153</v>
      </c>
      <c r="B106" s="311" t="s">
        <v>154</v>
      </c>
      <c r="C106" s="312"/>
      <c r="D106" s="313"/>
      <c r="E106" s="31"/>
      <c r="F106" s="31">
        <f>40000+E106</f>
        <v>40000</v>
      </c>
      <c r="G106" s="74">
        <v>3000</v>
      </c>
      <c r="H106" s="74"/>
      <c r="I106" s="74"/>
      <c r="J106" s="74"/>
      <c r="K106" s="94">
        <f aca="true" t="shared" si="8" ref="K106:K120">G106</f>
        <v>3000</v>
      </c>
      <c r="L106" s="33">
        <f>15100+K106</f>
        <v>18100</v>
      </c>
      <c r="M106" s="34">
        <f t="shared" si="7"/>
        <v>-3000</v>
      </c>
      <c r="N106" s="35">
        <f t="shared" si="7"/>
        <v>21900</v>
      </c>
      <c r="O106" s="64">
        <v>0</v>
      </c>
      <c r="P106" s="65">
        <v>0</v>
      </c>
    </row>
    <row r="107" spans="1:16" ht="34.5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8"/>
        <v>0</v>
      </c>
      <c r="L107" s="33">
        <f>0+K107</f>
        <v>0</v>
      </c>
      <c r="M107" s="34">
        <f t="shared" si="7"/>
        <v>0</v>
      </c>
      <c r="N107" s="35">
        <f t="shared" si="7"/>
        <v>16200</v>
      </c>
      <c r="O107" s="64">
        <v>0</v>
      </c>
      <c r="P107" s="65">
        <v>0</v>
      </c>
    </row>
    <row r="108" spans="1:16" ht="29.25" customHeight="1" thickBot="1">
      <c r="A108" s="60" t="s">
        <v>157</v>
      </c>
      <c r="B108" s="348" t="s">
        <v>158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8"/>
        <v>0</v>
      </c>
      <c r="L108" s="33">
        <f>0+K108</f>
        <v>0</v>
      </c>
      <c r="M108" s="34">
        <f t="shared" si="7"/>
        <v>0</v>
      </c>
      <c r="N108" s="35">
        <f t="shared" si="7"/>
        <v>0</v>
      </c>
      <c r="O108" s="64">
        <v>0</v>
      </c>
      <c r="P108" s="65">
        <v>0</v>
      </c>
    </row>
    <row r="109" spans="1:16" ht="23.25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8"/>
        <v>0</v>
      </c>
      <c r="L109" s="33">
        <f>0+K109</f>
        <v>0</v>
      </c>
      <c r="M109" s="34">
        <f t="shared" si="7"/>
        <v>0</v>
      </c>
      <c r="N109" s="35">
        <f t="shared" si="7"/>
        <v>0</v>
      </c>
      <c r="O109" s="64">
        <v>0</v>
      </c>
      <c r="P109" s="65">
        <v>0</v>
      </c>
    </row>
    <row r="110" spans="1:18" ht="34.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8"/>
        <v>0</v>
      </c>
      <c r="L110" s="33">
        <f>0+K110</f>
        <v>0</v>
      </c>
      <c r="M110" s="34">
        <f t="shared" si="7"/>
        <v>0</v>
      </c>
      <c r="N110" s="35">
        <f t="shared" si="7"/>
        <v>0</v>
      </c>
      <c r="O110" s="64">
        <v>0</v>
      </c>
      <c r="P110" s="65">
        <v>0</v>
      </c>
      <c r="R110" s="96"/>
    </row>
    <row r="111" spans="1:16" ht="31.5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8"/>
        <v>0</v>
      </c>
      <c r="L111" s="33">
        <f>7200+K111</f>
        <v>7200</v>
      </c>
      <c r="M111" s="34">
        <f t="shared" si="7"/>
        <v>0</v>
      </c>
      <c r="N111" s="35">
        <f t="shared" si="7"/>
        <v>-7200</v>
      </c>
      <c r="O111" s="64">
        <v>0</v>
      </c>
      <c r="P111" s="65">
        <v>0</v>
      </c>
    </row>
    <row r="112" spans="1:16" ht="32.25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8"/>
        <v>0</v>
      </c>
      <c r="L112" s="33">
        <f>0+K112</f>
        <v>0</v>
      </c>
      <c r="M112" s="34">
        <f t="shared" si="7"/>
        <v>0</v>
      </c>
      <c r="N112" s="35">
        <f t="shared" si="7"/>
        <v>0</v>
      </c>
      <c r="O112" s="64">
        <v>0</v>
      </c>
      <c r="P112" s="65">
        <v>0</v>
      </c>
    </row>
    <row r="113" spans="1:16" ht="24.75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>
        <v>26360.6</v>
      </c>
      <c r="H113" s="74"/>
      <c r="I113" s="74"/>
      <c r="J113" s="74"/>
      <c r="K113" s="94">
        <f t="shared" si="8"/>
        <v>26360.6</v>
      </c>
      <c r="L113" s="33">
        <f>15100+K113</f>
        <v>41460.6</v>
      </c>
      <c r="M113" s="34">
        <f t="shared" si="7"/>
        <v>-26360.6</v>
      </c>
      <c r="N113" s="35">
        <f t="shared" si="7"/>
        <v>-41460.6</v>
      </c>
      <c r="O113" s="64">
        <v>0</v>
      </c>
      <c r="P113" s="65">
        <v>0</v>
      </c>
    </row>
    <row r="114" spans="1:16" ht="44.25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9000+E114</f>
        <v>12000</v>
      </c>
      <c r="G114" s="74">
        <v>2540.4</v>
      </c>
      <c r="H114" s="74"/>
      <c r="I114" s="74"/>
      <c r="J114" s="74"/>
      <c r="K114" s="94">
        <f t="shared" si="8"/>
        <v>2540.4</v>
      </c>
      <c r="L114" s="33">
        <f>2530.72+K114</f>
        <v>5071.12</v>
      </c>
      <c r="M114" s="34">
        <f>E114-K114</f>
        <v>459.5999999999999</v>
      </c>
      <c r="N114" s="35">
        <f t="shared" si="7"/>
        <v>6928.88</v>
      </c>
      <c r="O114" s="64">
        <v>0</v>
      </c>
      <c r="P114" s="65">
        <v>0</v>
      </c>
    </row>
    <row r="115" spans="1:16" ht="33" customHeight="1" thickBot="1">
      <c r="A115" s="60" t="s">
        <v>171</v>
      </c>
      <c r="B115" s="308" t="s">
        <v>172</v>
      </c>
      <c r="C115" s="309"/>
      <c r="D115" s="310"/>
      <c r="E115" s="31"/>
      <c r="F115" s="31">
        <f>6000+E115</f>
        <v>6000</v>
      </c>
      <c r="G115" s="74"/>
      <c r="H115" s="74"/>
      <c r="I115" s="74"/>
      <c r="J115" s="74"/>
      <c r="K115" s="94">
        <f t="shared" si="8"/>
        <v>0</v>
      </c>
      <c r="L115" s="33">
        <f>0+K115</f>
        <v>0</v>
      </c>
      <c r="M115" s="34">
        <f t="shared" si="7"/>
        <v>0</v>
      </c>
      <c r="N115" s="35">
        <f t="shared" si="7"/>
        <v>6000</v>
      </c>
      <c r="O115" s="64">
        <v>0</v>
      </c>
      <c r="P115" s="65">
        <v>0</v>
      </c>
    </row>
    <row r="116" spans="1:16" ht="30.75" customHeight="1" thickBot="1">
      <c r="A116" s="60" t="s">
        <v>173</v>
      </c>
      <c r="B116" s="308" t="s">
        <v>174</v>
      </c>
      <c r="C116" s="309"/>
      <c r="D116" s="310"/>
      <c r="E116" s="31"/>
      <c r="F116" s="31"/>
      <c r="G116" s="74"/>
      <c r="H116" s="74"/>
      <c r="I116" s="74"/>
      <c r="J116" s="74"/>
      <c r="K116" s="94">
        <f t="shared" si="8"/>
        <v>0</v>
      </c>
      <c r="L116" s="33">
        <f>0+K116</f>
        <v>0</v>
      </c>
      <c r="M116" s="34">
        <f t="shared" si="7"/>
        <v>0</v>
      </c>
      <c r="N116" s="35">
        <f t="shared" si="7"/>
        <v>0</v>
      </c>
      <c r="O116" s="64">
        <v>0</v>
      </c>
      <c r="P116" s="65">
        <v>0</v>
      </c>
    </row>
    <row r="117" spans="1:16" ht="30.7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7"/>
        <v>0</v>
      </c>
      <c r="N117" s="35">
        <f t="shared" si="7"/>
        <v>0</v>
      </c>
      <c r="O117" s="64">
        <v>0</v>
      </c>
      <c r="P117" s="65">
        <v>0</v>
      </c>
    </row>
    <row r="118" spans="1:16" ht="33.75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>
        <v>3537.84</v>
      </c>
      <c r="H118" s="74"/>
      <c r="I118" s="74"/>
      <c r="J118" s="74"/>
      <c r="K118" s="94">
        <f>G118</f>
        <v>3537.84</v>
      </c>
      <c r="L118" s="33">
        <f>2788.97+K118</f>
        <v>6326.8099999999995</v>
      </c>
      <c r="M118" s="34">
        <f t="shared" si="7"/>
        <v>-3537.84</v>
      </c>
      <c r="N118" s="35">
        <f t="shared" si="7"/>
        <v>-6326.8099999999995</v>
      </c>
      <c r="O118" s="64">
        <v>0</v>
      </c>
      <c r="P118" s="65">
        <v>0</v>
      </c>
    </row>
    <row r="119" spans="1:18" ht="32.25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7"/>
        <v>0</v>
      </c>
      <c r="N119" s="35">
        <f t="shared" si="7"/>
        <v>0</v>
      </c>
      <c r="O119" s="64">
        <v>0</v>
      </c>
      <c r="P119" s="65">
        <v>0</v>
      </c>
      <c r="R119" s="96">
        <f>F131+F129+F128+F119+F115+F114+F113+F107+F106</f>
        <v>299200</v>
      </c>
    </row>
    <row r="120" spans="1:16" ht="31.5" customHeight="1" thickBot="1">
      <c r="A120" s="97" t="s">
        <v>180</v>
      </c>
      <c r="B120" s="308" t="s">
        <v>181</v>
      </c>
      <c r="C120" s="309"/>
      <c r="D120" s="310"/>
      <c r="E120" s="31">
        <v>1600</v>
      </c>
      <c r="F120" s="31">
        <f>4600+E120</f>
        <v>6200</v>
      </c>
      <c r="G120" s="74">
        <v>1400</v>
      </c>
      <c r="H120" s="74"/>
      <c r="I120" s="74"/>
      <c r="J120" s="74"/>
      <c r="K120" s="94">
        <f t="shared" si="8"/>
        <v>1400</v>
      </c>
      <c r="L120" s="33">
        <f>5450+K120</f>
        <v>6850</v>
      </c>
      <c r="M120" s="34">
        <f t="shared" si="7"/>
        <v>200</v>
      </c>
      <c r="N120" s="35">
        <f t="shared" si="7"/>
        <v>-650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3.75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74.25" customHeight="1" thickBot="1">
      <c r="A124" s="170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167">
        <v>3</v>
      </c>
      <c r="G125" s="167">
        <v>4</v>
      </c>
      <c r="H125" s="167">
        <v>5</v>
      </c>
      <c r="I125" s="7">
        <v>6</v>
      </c>
      <c r="J125" s="7">
        <v>7</v>
      </c>
      <c r="K125" s="48">
        <v>8</v>
      </c>
      <c r="L125" s="164">
        <v>9</v>
      </c>
      <c r="M125" s="7">
        <v>10</v>
      </c>
      <c r="N125" s="164">
        <v>11</v>
      </c>
      <c r="O125" s="7">
        <v>12</v>
      </c>
      <c r="P125" s="164">
        <v>13</v>
      </c>
    </row>
    <row r="126" spans="1:16" ht="36.75" customHeight="1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9" ref="K126:K141">G126</f>
        <v>0</v>
      </c>
      <c r="L126" s="33">
        <f>0+K126</f>
        <v>0</v>
      </c>
      <c r="M126" s="34">
        <f aca="true" t="shared" si="10" ref="M126:N142">E126-K126</f>
        <v>0</v>
      </c>
      <c r="N126" s="35">
        <f t="shared" si="10"/>
        <v>0</v>
      </c>
      <c r="O126" s="64">
        <v>0</v>
      </c>
      <c r="P126" s="65">
        <v>0</v>
      </c>
    </row>
    <row r="127" spans="1:16" ht="42.75" customHeight="1" thickBot="1">
      <c r="A127" s="107" t="s">
        <v>184</v>
      </c>
      <c r="B127" s="325" t="s">
        <v>185</v>
      </c>
      <c r="C127" s="326"/>
      <c r="D127" s="327"/>
      <c r="E127" s="31">
        <v>280000</v>
      </c>
      <c r="F127" s="31"/>
      <c r="G127" s="74"/>
      <c r="H127" s="74"/>
      <c r="I127" s="74"/>
      <c r="J127" s="74"/>
      <c r="K127" s="94">
        <f t="shared" si="9"/>
        <v>0</v>
      </c>
      <c r="L127" s="33">
        <f>0+K127</f>
        <v>0</v>
      </c>
      <c r="M127" s="34">
        <f t="shared" si="10"/>
        <v>280000</v>
      </c>
      <c r="N127" s="35">
        <f t="shared" si="10"/>
        <v>0</v>
      </c>
      <c r="O127" s="64">
        <v>0</v>
      </c>
      <c r="P127" s="65">
        <v>0</v>
      </c>
    </row>
    <row r="128" spans="1:16" ht="38.25" customHeight="1" thickBot="1">
      <c r="A128" s="108" t="s">
        <v>186</v>
      </c>
      <c r="B128" s="325" t="s">
        <v>187</v>
      </c>
      <c r="C128" s="326"/>
      <c r="D128" s="327"/>
      <c r="E128" s="31"/>
      <c r="F128" s="31">
        <f>0+E128</f>
        <v>0</v>
      </c>
      <c r="G128" s="74">
        <v>122574</v>
      </c>
      <c r="H128" s="74"/>
      <c r="I128" s="74"/>
      <c r="J128" s="74"/>
      <c r="K128" s="94">
        <f>I128+G128</f>
        <v>122574</v>
      </c>
      <c r="L128" s="33">
        <f>143382.79+K128</f>
        <v>265956.79000000004</v>
      </c>
      <c r="M128" s="34">
        <f t="shared" si="10"/>
        <v>-122574</v>
      </c>
      <c r="N128" s="35">
        <f t="shared" si="10"/>
        <v>-265956.79000000004</v>
      </c>
      <c r="O128" s="64">
        <v>0</v>
      </c>
      <c r="P128" s="65">
        <v>0</v>
      </c>
    </row>
    <row r="129" spans="1:16" ht="47.2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0"/>
        <v>0</v>
      </c>
      <c r="N129" s="35">
        <f t="shared" si="10"/>
        <v>0</v>
      </c>
      <c r="O129" s="64">
        <v>0</v>
      </c>
      <c r="P129" s="65">
        <v>0</v>
      </c>
    </row>
    <row r="130" spans="1:16" ht="37.5" customHeight="1" thickBot="1">
      <c r="A130" s="109" t="s">
        <v>190</v>
      </c>
      <c r="B130" s="325" t="s">
        <v>191</v>
      </c>
      <c r="C130" s="326"/>
      <c r="D130" s="327"/>
      <c r="E130" s="31">
        <v>6000</v>
      </c>
      <c r="F130" s="31"/>
      <c r="G130" s="74">
        <v>3980</v>
      </c>
      <c r="H130" s="74"/>
      <c r="I130" s="74"/>
      <c r="J130" s="74"/>
      <c r="K130" s="94">
        <f>G130</f>
        <v>3980</v>
      </c>
      <c r="L130" s="33">
        <f>0+K130</f>
        <v>3980</v>
      </c>
      <c r="M130" s="34">
        <f t="shared" si="10"/>
        <v>2020</v>
      </c>
      <c r="N130" s="35">
        <f t="shared" si="10"/>
        <v>-3980</v>
      </c>
      <c r="O130" s="64">
        <v>0</v>
      </c>
      <c r="P130" s="65">
        <v>0</v>
      </c>
    </row>
    <row r="131" spans="1:16" ht="51.75" customHeight="1" thickBot="1">
      <c r="A131" s="109" t="s">
        <v>192</v>
      </c>
      <c r="B131" s="460" t="s">
        <v>193</v>
      </c>
      <c r="C131" s="461"/>
      <c r="D131" s="462"/>
      <c r="E131" s="31"/>
      <c r="F131" s="31">
        <f>225000+E131</f>
        <v>225000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0"/>
        <v>0</v>
      </c>
      <c r="N131" s="35">
        <f t="shared" si="10"/>
        <v>225000</v>
      </c>
      <c r="O131" s="64">
        <v>0</v>
      </c>
      <c r="P131" s="65">
        <v>0</v>
      </c>
    </row>
    <row r="132" spans="1:16" ht="29.25" customHeight="1" thickBot="1">
      <c r="A132" s="109" t="s">
        <v>229</v>
      </c>
      <c r="B132" s="460" t="s">
        <v>214</v>
      </c>
      <c r="C132" s="461"/>
      <c r="D132" s="462"/>
      <c r="E132" s="31">
        <v>7700</v>
      </c>
      <c r="F132" s="31">
        <f>5950+E132</f>
        <v>13650</v>
      </c>
      <c r="G132" s="74"/>
      <c r="H132" s="74"/>
      <c r="I132" s="74"/>
      <c r="J132" s="74"/>
      <c r="K132" s="94"/>
      <c r="L132" s="33">
        <f>8063+K132</f>
        <v>8063</v>
      </c>
      <c r="M132" s="34">
        <f>E132-K132</f>
        <v>7700</v>
      </c>
      <c r="N132" s="35">
        <f>F132-L132</f>
        <v>5587</v>
      </c>
      <c r="O132" s="64">
        <v>0</v>
      </c>
      <c r="P132" s="65">
        <v>0</v>
      </c>
    </row>
    <row r="133" spans="1:19" ht="33" customHeight="1" thickBot="1">
      <c r="A133" s="110">
        <v>15</v>
      </c>
      <c r="B133" s="304" t="s">
        <v>194</v>
      </c>
      <c r="C133" s="304"/>
      <c r="D133" s="305"/>
      <c r="E133" s="73">
        <f>E134+E135</f>
        <v>0</v>
      </c>
      <c r="F133" s="73">
        <f>F134</f>
        <v>50000</v>
      </c>
      <c r="G133" s="75">
        <f>G134+G135</f>
        <v>0</v>
      </c>
      <c r="H133" s="74"/>
      <c r="I133" s="74"/>
      <c r="J133" s="74"/>
      <c r="K133" s="93">
        <f t="shared" si="9"/>
        <v>0</v>
      </c>
      <c r="L133" s="55">
        <f>L134+L135</f>
        <v>7878</v>
      </c>
      <c r="M133" s="56">
        <f t="shared" si="10"/>
        <v>0</v>
      </c>
      <c r="N133" s="70">
        <f t="shared" si="10"/>
        <v>42122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155"/>
      <c r="F134" s="31">
        <f>50000+E134</f>
        <v>50000</v>
      </c>
      <c r="G134" s="74"/>
      <c r="H134" s="74"/>
      <c r="I134" s="74"/>
      <c r="J134" s="74"/>
      <c r="K134" s="94">
        <f t="shared" si="9"/>
        <v>0</v>
      </c>
      <c r="L134" s="33">
        <f>7878+K134</f>
        <v>7878</v>
      </c>
      <c r="M134" s="34">
        <f t="shared" si="10"/>
        <v>0</v>
      </c>
      <c r="N134" s="35">
        <f t="shared" si="10"/>
        <v>42122</v>
      </c>
      <c r="O134" s="64">
        <v>0</v>
      </c>
      <c r="P134" s="65">
        <v>0</v>
      </c>
      <c r="Q134" s="1"/>
      <c r="R134" s="1"/>
      <c r="S134" s="1"/>
    </row>
    <row r="135" spans="1:19" ht="32.2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9"/>
        <v>0</v>
      </c>
      <c r="L135" s="33">
        <f>0+K135</f>
        <v>0</v>
      </c>
      <c r="M135" s="34">
        <f t="shared" si="10"/>
        <v>0</v>
      </c>
      <c r="N135" s="35">
        <f t="shared" si="10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9"/>
        <v>0</v>
      </c>
      <c r="L136" s="55">
        <f>0+K136</f>
        <v>0</v>
      </c>
      <c r="M136" s="56">
        <f t="shared" si="10"/>
        <v>0</v>
      </c>
      <c r="N136" s="70">
        <f t="shared" si="10"/>
        <v>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9"/>
        <v>0</v>
      </c>
      <c r="L137" s="33">
        <f>0+K137</f>
        <v>0</v>
      </c>
      <c r="M137" s="34">
        <f t="shared" si="10"/>
        <v>0</v>
      </c>
      <c r="N137" s="35">
        <f t="shared" si="10"/>
        <v>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9"/>
        <v>0</v>
      </c>
      <c r="L138" s="33">
        <f>0+K138</f>
        <v>0</v>
      </c>
      <c r="M138" s="34">
        <f t="shared" si="10"/>
        <v>0</v>
      </c>
      <c r="N138" s="35">
        <f t="shared" si="10"/>
        <v>0</v>
      </c>
      <c r="O138" s="64">
        <v>0</v>
      </c>
      <c r="P138" s="65">
        <v>0</v>
      </c>
      <c r="Q138" s="1"/>
      <c r="R138" s="1"/>
      <c r="S138" s="1"/>
    </row>
    <row r="139" spans="1:19" ht="48.7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>G139</f>
        <v>0</v>
      </c>
      <c r="L139" s="55">
        <f>L140</f>
        <v>0</v>
      </c>
      <c r="M139" s="56">
        <f t="shared" si="10"/>
        <v>0</v>
      </c>
      <c r="N139" s="70">
        <f t="shared" si="10"/>
        <v>0</v>
      </c>
      <c r="O139" s="58">
        <v>0</v>
      </c>
      <c r="P139" s="59">
        <v>0</v>
      </c>
      <c r="Q139" s="1"/>
      <c r="R139" s="1"/>
      <c r="S139" s="1"/>
    </row>
    <row r="140" spans="1:19" ht="30.75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9"/>
        <v>0</v>
      </c>
      <c r="L140" s="33">
        <f>0+K140</f>
        <v>0</v>
      </c>
      <c r="M140" s="34">
        <f t="shared" si="10"/>
        <v>0</v>
      </c>
      <c r="N140" s="35">
        <f t="shared" si="10"/>
        <v>0</v>
      </c>
      <c r="O140" s="64">
        <v>0</v>
      </c>
      <c r="P140" s="65">
        <v>0</v>
      </c>
      <c r="Q140" s="1"/>
      <c r="R140" s="80">
        <f>G10+H10+G20+G18-H29</f>
        <v>279750</v>
      </c>
      <c r="S140" s="1"/>
    </row>
    <row r="141" spans="1:19" ht="33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9"/>
        <v>0</v>
      </c>
      <c r="L141" s="33">
        <f>0+K141</f>
        <v>0</v>
      </c>
      <c r="M141" s="34">
        <f t="shared" si="10"/>
        <v>0</v>
      </c>
      <c r="N141" s="35">
        <f t="shared" si="10"/>
        <v>0</v>
      </c>
      <c r="O141" s="64">
        <v>0</v>
      </c>
      <c r="P141" s="65">
        <v>0</v>
      </c>
      <c r="Q141" s="1"/>
      <c r="R141" s="1"/>
      <c r="S141" s="1"/>
    </row>
    <row r="142" spans="1:19" ht="31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>
        <v>144960.26</v>
      </c>
      <c r="K142" s="93">
        <f>J142</f>
        <v>144960.26</v>
      </c>
      <c r="L142" s="55">
        <f>430010.43+K142</f>
        <v>574970.69</v>
      </c>
      <c r="M142" s="56">
        <f>E142-K142</f>
        <v>-144960.26</v>
      </c>
      <c r="N142" s="70">
        <f t="shared" si="10"/>
        <v>-574970.69</v>
      </c>
      <c r="O142" s="58">
        <v>0</v>
      </c>
      <c r="P142" s="59">
        <v>0</v>
      </c>
      <c r="Q142" s="1"/>
      <c r="R142" s="1"/>
      <c r="S142" s="1"/>
    </row>
    <row r="143" spans="1:19" ht="104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161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211" t="s">
        <v>233</v>
      </c>
      <c r="P143" s="212"/>
      <c r="Q143" s="214"/>
      <c r="R143" s="213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162">
        <v>0</v>
      </c>
      <c r="N144" s="162">
        <v>0</v>
      </c>
      <c r="O144" s="209">
        <v>0</v>
      </c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-25590.080000000104</v>
      </c>
      <c r="H145" s="4">
        <f>G18+H10-H31-H35</f>
        <v>279750</v>
      </c>
      <c r="I145" s="299">
        <f>I10+G19-I104-I66-I97-I76</f>
        <v>10.6</v>
      </c>
      <c r="J145" s="300"/>
      <c r="K145" s="120">
        <f>O10+G22-J54</f>
        <v>-844.6600000000001</v>
      </c>
      <c r="L145" s="4">
        <f>L10+G23-J142</f>
        <v>143240.77000000002</v>
      </c>
      <c r="M145" s="162">
        <v>0</v>
      </c>
      <c r="N145" s="4">
        <f>N10+G21-J88</f>
        <v>6275.09</v>
      </c>
      <c r="O145" s="215">
        <f>G10+G20-H56</f>
        <v>0</v>
      </c>
      <c r="P145" s="4">
        <f>SUM(G145:O145)</f>
        <v>402841.7199999999</v>
      </c>
      <c r="Q145" s="1"/>
      <c r="R145" s="80">
        <f>P5+L16-L29</f>
        <v>402841.71999999974</v>
      </c>
      <c r="S145" s="37"/>
    </row>
    <row r="146" spans="1:19" ht="24.75" customHeight="1" thickBot="1">
      <c r="A146" s="122"/>
      <c r="B146" s="288" t="s">
        <v>230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402841.7199999999</v>
      </c>
      <c r="Q146" s="1"/>
      <c r="R146" s="37"/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159"/>
      <c r="C150" s="159"/>
      <c r="D150" s="159"/>
      <c r="E150" s="159"/>
      <c r="F150" s="159"/>
      <c r="G150" s="159"/>
      <c r="H150" s="159"/>
      <c r="I150" s="159"/>
      <c r="J150" s="130"/>
      <c r="K150" s="131"/>
      <c r="L150" s="130"/>
      <c r="M150" s="159"/>
      <c r="N150" s="159"/>
      <c r="O150" s="159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1">
    <mergeCell ref="B10:E10"/>
    <mergeCell ref="I10:J10"/>
    <mergeCell ref="B6:E6"/>
    <mergeCell ref="F6:O6"/>
    <mergeCell ref="B7:E7"/>
    <mergeCell ref="F7:P7"/>
    <mergeCell ref="B8:E8"/>
    <mergeCell ref="I8:J8"/>
    <mergeCell ref="B1:P1"/>
    <mergeCell ref="B2:P2"/>
    <mergeCell ref="B3:P3"/>
    <mergeCell ref="B4:P4"/>
    <mergeCell ref="B5:E5"/>
    <mergeCell ref="F5:O5"/>
    <mergeCell ref="B9:E9"/>
    <mergeCell ref="I9:J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6:D136"/>
    <mergeCell ref="B137:D137"/>
    <mergeCell ref="B138:D138"/>
    <mergeCell ref="B139:D139"/>
    <mergeCell ref="B140:D140"/>
    <mergeCell ref="B141:D141"/>
    <mergeCell ref="B129:D129"/>
    <mergeCell ref="B130:D130"/>
    <mergeCell ref="B131:D131"/>
    <mergeCell ref="B133:D133"/>
    <mergeCell ref="B134:D134"/>
    <mergeCell ref="B135:D135"/>
    <mergeCell ref="B132:D132"/>
    <mergeCell ref="B146:E146"/>
    <mergeCell ref="F146:O146"/>
    <mergeCell ref="B148:E148"/>
    <mergeCell ref="F148:N148"/>
    <mergeCell ref="O148:P148"/>
    <mergeCell ref="B149:E149"/>
    <mergeCell ref="F149:N149"/>
    <mergeCell ref="O149:P149"/>
    <mergeCell ref="B142:D142"/>
    <mergeCell ref="B143:E143"/>
    <mergeCell ref="I143:J143"/>
    <mergeCell ref="B144:E144"/>
    <mergeCell ref="I144:J144"/>
    <mergeCell ref="B145:E145"/>
    <mergeCell ref="I145:J145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86">
      <selection activeCell="M32" sqref="M32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7109375" style="2" customWidth="1"/>
    <col min="5" max="7" width="12.7109375" style="2" customWidth="1"/>
    <col min="8" max="8" width="11.140625" style="2" customWidth="1"/>
    <col min="9" max="9" width="7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3.7109375" style="2" customWidth="1"/>
    <col min="14" max="14" width="12.7109375" style="2" customWidth="1"/>
    <col min="15" max="15" width="8.2812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>
      <c r="A2" s="1"/>
      <c r="B2" s="458" t="s">
        <v>237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5.5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4" customHeight="1" thickBot="1">
      <c r="A6" s="3"/>
      <c r="B6" s="451" t="s">
        <v>231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175">
        <f>P10</f>
        <v>402841.72000000003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thickBot="1">
      <c r="A8" s="6"/>
      <c r="B8" s="451" t="s">
        <v>3</v>
      </c>
      <c r="C8" s="288"/>
      <c r="D8" s="288"/>
      <c r="E8" s="289"/>
      <c r="F8" s="219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177" t="s">
        <v>9</v>
      </c>
      <c r="N8" s="186" t="s">
        <v>10</v>
      </c>
      <c r="O8" s="11" t="s">
        <v>11</v>
      </c>
      <c r="P8" s="12"/>
    </row>
    <row r="9" spans="1:16" ht="15.75" thickBot="1">
      <c r="A9" s="3"/>
      <c r="B9" s="448" t="s">
        <v>12</v>
      </c>
      <c r="C9" s="449"/>
      <c r="D9" s="449"/>
      <c r="E9" s="450"/>
      <c r="F9" s="218">
        <v>0</v>
      </c>
      <c r="G9" s="4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174">
        <v>0</v>
      </c>
      <c r="N9" s="4">
        <v>0</v>
      </c>
      <c r="O9" s="15">
        <v>0</v>
      </c>
      <c r="P9" s="175">
        <v>0</v>
      </c>
    </row>
    <row r="10" spans="1:16" ht="27" customHeight="1" thickBot="1">
      <c r="A10" s="3"/>
      <c r="B10" s="448" t="s">
        <v>13</v>
      </c>
      <c r="C10" s="449"/>
      <c r="D10" s="449"/>
      <c r="E10" s="450"/>
      <c r="F10" s="218">
        <v>-25590.08</v>
      </c>
      <c r="G10" s="4">
        <v>0</v>
      </c>
      <c r="H10" s="4">
        <v>279750</v>
      </c>
      <c r="I10" s="299">
        <v>10.6</v>
      </c>
      <c r="J10" s="300"/>
      <c r="K10" s="13">
        <v>0</v>
      </c>
      <c r="L10" s="4">
        <v>143240.77</v>
      </c>
      <c r="M10" s="174">
        <v>0</v>
      </c>
      <c r="N10" s="4">
        <v>6275.09</v>
      </c>
      <c r="O10" s="4">
        <v>-844.66</v>
      </c>
      <c r="P10" s="175">
        <f>SUM(F10:O10)</f>
        <v>402841.72000000003</v>
      </c>
    </row>
    <row r="11" spans="1:16" ht="20.25" customHeight="1" thickBot="1">
      <c r="A11" s="182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15.75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181">
        <v>3</v>
      </c>
      <c r="G14" s="403">
        <v>4</v>
      </c>
      <c r="H14" s="404"/>
      <c r="I14" s="404"/>
      <c r="J14" s="405"/>
      <c r="K14" s="19">
        <v>5</v>
      </c>
      <c r="L14" s="180">
        <v>6</v>
      </c>
      <c r="M14" s="7">
        <v>7</v>
      </c>
      <c r="N14" s="180">
        <v>8</v>
      </c>
      <c r="O14" s="180">
        <v>9</v>
      </c>
      <c r="P14" s="7">
        <v>10</v>
      </c>
    </row>
    <row r="15" spans="1:16" ht="29.25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4" customHeight="1" thickBot="1">
      <c r="A16" s="413"/>
      <c r="B16" s="431"/>
      <c r="C16" s="432"/>
      <c r="D16" s="433"/>
      <c r="E16" s="26">
        <f>SUM(E17:E23)</f>
        <v>1911551</v>
      </c>
      <c r="F16" s="27">
        <f>SUM(F17:F23)</f>
        <v>8637089</v>
      </c>
      <c r="G16" s="437">
        <f>G17+G18+G19+G20+G21+G22+G23</f>
        <v>1679655.1099999999</v>
      </c>
      <c r="H16" s="438"/>
      <c r="I16" s="438"/>
      <c r="J16" s="439"/>
      <c r="K16" s="184">
        <f>SUM(K17:K23)</f>
        <v>1679655.1099999999</v>
      </c>
      <c r="L16" s="184">
        <f>SUM(L17:L23)</f>
        <v>7731589.5</v>
      </c>
      <c r="M16" s="184">
        <f>SUM(M17:M23)</f>
        <v>231895.88999999996</v>
      </c>
      <c r="N16" s="184">
        <f>SUM(N17:N23)</f>
        <v>905499.5</v>
      </c>
      <c r="O16" s="29">
        <v>0</v>
      </c>
      <c r="P16" s="29">
        <v>0</v>
      </c>
    </row>
    <row r="17" spans="1:18" ht="58.5" customHeight="1" thickBot="1">
      <c r="A17" s="30" t="s">
        <v>29</v>
      </c>
      <c r="B17" s="393" t="s">
        <v>30</v>
      </c>
      <c r="C17" s="394"/>
      <c r="D17" s="395"/>
      <c r="E17" s="154">
        <v>1160834</v>
      </c>
      <c r="F17" s="31">
        <f>3566871+E17</f>
        <v>4727705</v>
      </c>
      <c r="G17" s="409">
        <v>856346.06</v>
      </c>
      <c r="H17" s="410"/>
      <c r="I17" s="410"/>
      <c r="J17" s="411"/>
      <c r="K17" s="185">
        <f>G17</f>
        <v>856346.06</v>
      </c>
      <c r="L17" s="33">
        <f>2758732.04+K17</f>
        <v>3615078.1</v>
      </c>
      <c r="M17" s="34">
        <f>E17-K17</f>
        <v>304487.93999999994</v>
      </c>
      <c r="N17" s="35">
        <f>F17-L17</f>
        <v>1112626.9</v>
      </c>
      <c r="O17" s="36">
        <v>0</v>
      </c>
      <c r="P17" s="36">
        <v>0</v>
      </c>
      <c r="Q17" s="1"/>
      <c r="R17" s="37">
        <v>365352.1499999948</v>
      </c>
    </row>
    <row r="18" spans="1:18" ht="39" customHeight="1" thickBot="1">
      <c r="A18" s="38" t="s">
        <v>31</v>
      </c>
      <c r="B18" s="422" t="s">
        <v>32</v>
      </c>
      <c r="C18" s="423"/>
      <c r="D18" s="424"/>
      <c r="E18" s="148">
        <v>692517</v>
      </c>
      <c r="F18" s="31">
        <f>1983967+E18</f>
        <v>2676484</v>
      </c>
      <c r="G18" s="409">
        <v>468050</v>
      </c>
      <c r="H18" s="410"/>
      <c r="I18" s="410"/>
      <c r="J18" s="411"/>
      <c r="K18" s="185">
        <f>G18</f>
        <v>468050</v>
      </c>
      <c r="L18" s="33">
        <f>1759603.5+K18</f>
        <v>2227653.5</v>
      </c>
      <c r="M18" s="34">
        <f>E18-K18</f>
        <v>224467</v>
      </c>
      <c r="N18" s="35">
        <f>F18-L18</f>
        <v>448830.5</v>
      </c>
      <c r="O18" s="36">
        <v>0</v>
      </c>
      <c r="P18" s="36">
        <v>0</v>
      </c>
      <c r="Q18" s="1"/>
      <c r="R18" s="1"/>
    </row>
    <row r="19" spans="1:18" ht="34.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185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56.25" customHeight="1" thickBot="1">
      <c r="A20" s="41" t="s">
        <v>35</v>
      </c>
      <c r="B20" s="416" t="s">
        <v>36</v>
      </c>
      <c r="C20" s="417"/>
      <c r="D20" s="418"/>
      <c r="E20" s="42">
        <v>58200</v>
      </c>
      <c r="F20" s="31">
        <f>1174700+E20</f>
        <v>1232900</v>
      </c>
      <c r="G20" s="409">
        <v>185381.43</v>
      </c>
      <c r="H20" s="410"/>
      <c r="I20" s="410"/>
      <c r="J20" s="411"/>
      <c r="K20" s="185">
        <f>G20</f>
        <v>185381.43</v>
      </c>
      <c r="L20" s="33">
        <f>955989.88+K20</f>
        <v>1141371.31</v>
      </c>
      <c r="M20" s="34">
        <f t="shared" si="0"/>
        <v>-127181.43</v>
      </c>
      <c r="N20" s="35">
        <f t="shared" si="0"/>
        <v>91528.68999999994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185">
        <f>G21</f>
        <v>0</v>
      </c>
      <c r="L21" s="33">
        <f>21850+K21</f>
        <v>21850</v>
      </c>
      <c r="M21" s="34">
        <f t="shared" si="0"/>
        <v>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4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/>
      <c r="H22" s="410"/>
      <c r="I22" s="410"/>
      <c r="J22" s="411"/>
      <c r="K22" s="185">
        <f>G22</f>
        <v>0</v>
      </c>
      <c r="L22" s="33">
        <f>8145.66+K22</f>
        <v>8145.66</v>
      </c>
      <c r="M22" s="34">
        <f>E22-K22</f>
        <v>0</v>
      </c>
      <c r="N22" s="35">
        <f t="shared" si="0"/>
        <v>-8145.66</v>
      </c>
      <c r="O22" s="36">
        <v>0</v>
      </c>
      <c r="P22" s="36">
        <v>0</v>
      </c>
      <c r="Q22" s="1"/>
      <c r="R22" s="1"/>
    </row>
    <row r="23" spans="1:18" ht="36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169877.62</v>
      </c>
      <c r="H23" s="410"/>
      <c r="I23" s="410"/>
      <c r="J23" s="411"/>
      <c r="K23" s="185">
        <f>G23</f>
        <v>169877.62</v>
      </c>
      <c r="L23" s="33">
        <f>522813.31+K23</f>
        <v>692690.9299999999</v>
      </c>
      <c r="M23" s="34">
        <f t="shared" si="0"/>
        <v>-169877.62</v>
      </c>
      <c r="N23" s="35">
        <f t="shared" si="0"/>
        <v>-692690.9299999999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2.2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60" customHeight="1" thickBot="1">
      <c r="A27" s="413"/>
      <c r="B27" s="371"/>
      <c r="C27" s="372"/>
      <c r="D27" s="373"/>
      <c r="E27" s="375"/>
      <c r="F27" s="377"/>
      <c r="G27" s="176" t="s">
        <v>45</v>
      </c>
      <c r="H27" s="176" t="s">
        <v>46</v>
      </c>
      <c r="I27" s="176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176">
        <v>3</v>
      </c>
      <c r="G28" s="176">
        <v>4</v>
      </c>
      <c r="H28" s="176">
        <v>5</v>
      </c>
      <c r="I28" s="7">
        <v>6</v>
      </c>
      <c r="J28" s="7">
        <v>7</v>
      </c>
      <c r="K28" s="48">
        <v>8</v>
      </c>
      <c r="L28" s="180">
        <v>9</v>
      </c>
      <c r="M28" s="7">
        <v>10</v>
      </c>
      <c r="N28" s="180">
        <v>11</v>
      </c>
      <c r="O28" s="7">
        <v>12</v>
      </c>
      <c r="P28" s="180">
        <v>13</v>
      </c>
      <c r="Q28" s="1"/>
      <c r="R28" s="1"/>
    </row>
    <row r="29" spans="1:18" ht="27" customHeight="1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1911551</v>
      </c>
      <c r="F29" s="49">
        <f>F30+F34+F38+F44+F51+F54+F64+F67+F71+F74+F78+F80+F88+F101+F133+F136+F139+F142</f>
        <v>8637089</v>
      </c>
      <c r="G29" s="49">
        <f>G30+G34+G38+G44+G51+G54+G64+G67+G71+G74+G78+G80+G88+G101+G133+G136+G139+G142</f>
        <v>854702.8099999999</v>
      </c>
      <c r="H29" s="49">
        <f>H30+H34+H38+H44+H51+H54+H64+H67+H71+H74+H78+H80+H88+H101+H133+H136+H139+H142</f>
        <v>655131.4299999999</v>
      </c>
      <c r="I29" s="49">
        <f>I30+I34+I38+I44+I51+I54+I64+I67+I71+I74+I78+I80+I88+I101+I133+I136+I139+I142</f>
        <v>0</v>
      </c>
      <c r="J29" s="49">
        <f>J30+J34+J38+J44+J51+J54+J64+J67+J71+J74+J78+J80+J88+J101+J133+J136+J139+J142</f>
        <v>170992.66</v>
      </c>
      <c r="K29" s="49">
        <f>K30+K34+K38+K44+K51+K54+K64+K67+K71+K74+K78+K80+K88+K101+K133+K136+K139+K142</f>
        <v>1680826.8999999997</v>
      </c>
      <c r="L29" s="49">
        <f>L30+L34+L38+L44+L51+L54+L64+L67+L71+L74+L78+L80+L88+L101+L133+L136+L139+L142</f>
        <v>7576343.989999998</v>
      </c>
      <c r="M29" s="49">
        <f>M30+M34+M38+M44+M51+M54+M64+M67+M71+M74+M78+M80+M88+M101+M133+M136+M139+M142</f>
        <v>230724.10000000003</v>
      </c>
      <c r="N29" s="49">
        <f>N30+N34+N38+N44+N51+N54+N64+N67+N71+N74+N78+N80+N88+N101+N133+N136+N139+N142</f>
        <v>1060745.0100000002</v>
      </c>
      <c r="O29" s="50">
        <v>0</v>
      </c>
      <c r="P29" s="50">
        <v>0</v>
      </c>
      <c r="Q29" s="1"/>
      <c r="R29" s="37">
        <f>3440426+E29</f>
        <v>5351977</v>
      </c>
    </row>
    <row r="30" spans="1:18" ht="30" customHeight="1" thickBot="1">
      <c r="A30" s="51" t="s">
        <v>21</v>
      </c>
      <c r="B30" s="402" t="s">
        <v>49</v>
      </c>
      <c r="C30" s="304"/>
      <c r="D30" s="305"/>
      <c r="E30" s="52">
        <f>SUM(E31:E32)</f>
        <v>753914</v>
      </c>
      <c r="F30" s="53">
        <f>F31+F32+F33</f>
        <v>3533118</v>
      </c>
      <c r="G30" s="54">
        <f>G31+G32+G33</f>
        <v>434529.85</v>
      </c>
      <c r="H30" s="54">
        <f>H31</f>
        <v>391093</v>
      </c>
      <c r="I30" s="54"/>
      <c r="J30" s="54">
        <f>J33</f>
        <v>5180</v>
      </c>
      <c r="K30" s="53">
        <f>G30+H30+J30</f>
        <v>830802.85</v>
      </c>
      <c r="L30" s="55">
        <f>L31+L32+L33</f>
        <v>3171996.51</v>
      </c>
      <c r="M30" s="56">
        <f>E30-K30</f>
        <v>-76888.84999999998</v>
      </c>
      <c r="N30" s="57">
        <f>F30-L30</f>
        <v>361121.4900000002</v>
      </c>
      <c r="O30" s="58">
        <v>0</v>
      </c>
      <c r="P30" s="59">
        <v>0</v>
      </c>
      <c r="Q30" s="37"/>
      <c r="R30" s="37"/>
    </row>
    <row r="31" spans="1:18" ht="22.5" customHeight="1" thickBot="1">
      <c r="A31" s="60" t="s">
        <v>50</v>
      </c>
      <c r="B31" s="388" t="s">
        <v>51</v>
      </c>
      <c r="C31" s="389"/>
      <c r="D31" s="390"/>
      <c r="E31" s="172">
        <v>576137</v>
      </c>
      <c r="F31" s="31">
        <f>1650555+E31</f>
        <v>2226692</v>
      </c>
      <c r="G31" s="62"/>
      <c r="H31" s="62">
        <v>391093</v>
      </c>
      <c r="I31" s="62"/>
      <c r="J31" s="62"/>
      <c r="K31" s="45">
        <f>H31</f>
        <v>391093</v>
      </c>
      <c r="L31" s="33">
        <f>1262803.5+K31</f>
        <v>1653896.5</v>
      </c>
      <c r="M31" s="34">
        <f>E31-K31</f>
        <v>185044</v>
      </c>
      <c r="N31" s="63">
        <f>F31-L31</f>
        <v>572795.5</v>
      </c>
      <c r="O31" s="64">
        <v>0</v>
      </c>
      <c r="P31" s="65">
        <v>0</v>
      </c>
      <c r="Q31" s="37"/>
      <c r="R31" s="37"/>
    </row>
    <row r="32" spans="1:18" ht="27.75" customHeight="1" thickBot="1">
      <c r="A32" s="60" t="s">
        <v>52</v>
      </c>
      <c r="B32" s="301" t="s">
        <v>53</v>
      </c>
      <c r="C32" s="302"/>
      <c r="D32" s="303"/>
      <c r="E32" s="172">
        <v>177777</v>
      </c>
      <c r="F32" s="31">
        <f>1128649+E32</f>
        <v>1306426</v>
      </c>
      <c r="G32" s="62">
        <v>434529.85</v>
      </c>
      <c r="H32" s="62"/>
      <c r="I32" s="62"/>
      <c r="J32" s="62"/>
      <c r="K32" s="33">
        <f>G32</f>
        <v>434529.85</v>
      </c>
      <c r="L32" s="33">
        <f>1065850.16+K32</f>
        <v>1500380.0099999998</v>
      </c>
      <c r="M32" s="34">
        <f>E32-K32</f>
        <v>-256752.84999999998</v>
      </c>
      <c r="N32" s="35">
        <f>F32-L32</f>
        <v>-193954.00999999978</v>
      </c>
      <c r="O32" s="64">
        <v>0</v>
      </c>
      <c r="P32" s="65">
        <v>0</v>
      </c>
      <c r="Q32" s="37"/>
      <c r="R32" s="37"/>
    </row>
    <row r="33" spans="1:18" ht="27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>
        <v>5180</v>
      </c>
      <c r="K33" s="45">
        <f>J33</f>
        <v>5180</v>
      </c>
      <c r="L33" s="33">
        <f>12540+K33</f>
        <v>17720</v>
      </c>
      <c r="M33" s="34">
        <f>E33-K33</f>
        <v>-5180</v>
      </c>
      <c r="N33" s="35">
        <f>F33-L33</f>
        <v>-17720</v>
      </c>
      <c r="O33" s="64">
        <v>0</v>
      </c>
      <c r="P33" s="65">
        <v>0</v>
      </c>
      <c r="Q33" s="37"/>
      <c r="R33" s="37"/>
    </row>
    <row r="34" spans="1:18" ht="30" customHeight="1" thickBot="1">
      <c r="A34" s="69" t="s">
        <v>22</v>
      </c>
      <c r="B34" s="357" t="s">
        <v>56</v>
      </c>
      <c r="C34" s="358"/>
      <c r="D34" s="359"/>
      <c r="E34" s="53">
        <f>SUM(E35:E37)</f>
        <v>152291</v>
      </c>
      <c r="F34" s="53">
        <f>F35+F36+F37</f>
        <v>713691</v>
      </c>
      <c r="G34" s="54">
        <f>G35+G36+G37</f>
        <v>86666.47</v>
      </c>
      <c r="H34" s="54">
        <f>H35</f>
        <v>78657</v>
      </c>
      <c r="I34" s="54"/>
      <c r="J34" s="54">
        <f>J37</f>
        <v>1010</v>
      </c>
      <c r="K34" s="53">
        <f>G34+H34+J34</f>
        <v>166333.47</v>
      </c>
      <c r="L34" s="55">
        <f>L35+L36+L37</f>
        <v>660666.11</v>
      </c>
      <c r="M34" s="56">
        <f aca="true" t="shared" si="1" ref="M34:N36">E34-K34</f>
        <v>-14042.470000000001</v>
      </c>
      <c r="N34" s="70">
        <f t="shared" si="1"/>
        <v>53024.890000000014</v>
      </c>
      <c r="O34" s="58">
        <v>0</v>
      </c>
      <c r="P34" s="59">
        <v>0</v>
      </c>
      <c r="Q34" s="1"/>
      <c r="R34" s="1"/>
    </row>
    <row r="35" spans="1:18" ht="18" customHeight="1" thickBot="1">
      <c r="A35" s="60" t="s">
        <v>57</v>
      </c>
      <c r="B35" s="388" t="s">
        <v>51</v>
      </c>
      <c r="C35" s="389"/>
      <c r="D35" s="390"/>
      <c r="E35" s="173">
        <v>116380</v>
      </c>
      <c r="F35" s="31">
        <f>333412+E35</f>
        <v>449792</v>
      </c>
      <c r="G35" s="62"/>
      <c r="H35" s="62">
        <v>78657</v>
      </c>
      <c r="I35" s="62"/>
      <c r="J35" s="62"/>
      <c r="K35" s="45">
        <f>H35</f>
        <v>78657</v>
      </c>
      <c r="L35" s="33">
        <f>217050+K35</f>
        <v>295707</v>
      </c>
      <c r="M35" s="34">
        <f t="shared" si="1"/>
        <v>37723</v>
      </c>
      <c r="N35" s="63">
        <f t="shared" si="1"/>
        <v>154085</v>
      </c>
      <c r="O35" s="64">
        <v>0</v>
      </c>
      <c r="P35" s="65">
        <v>0</v>
      </c>
      <c r="Q35" s="1"/>
      <c r="R35" s="71">
        <f>10506304-F29</f>
        <v>1869215</v>
      </c>
    </row>
    <row r="36" spans="1:18" ht="30.75" customHeight="1" thickBot="1">
      <c r="A36" s="60" t="s">
        <v>58</v>
      </c>
      <c r="B36" s="301" t="s">
        <v>53</v>
      </c>
      <c r="C36" s="302"/>
      <c r="D36" s="303"/>
      <c r="E36" s="173">
        <v>35911</v>
      </c>
      <c r="F36" s="31">
        <f>227988+E36</f>
        <v>263899</v>
      </c>
      <c r="G36" s="62">
        <v>86666.47</v>
      </c>
      <c r="H36" s="62"/>
      <c r="I36" s="62"/>
      <c r="J36" s="62"/>
      <c r="K36" s="45">
        <f>G36</f>
        <v>86666.47</v>
      </c>
      <c r="L36" s="33">
        <f>274749.56+K36</f>
        <v>361416.03</v>
      </c>
      <c r="M36" s="220">
        <f>E36-K36</f>
        <v>-50755.47</v>
      </c>
      <c r="N36" s="63">
        <f t="shared" si="1"/>
        <v>-97517.03000000003</v>
      </c>
      <c r="O36" s="64">
        <v>0</v>
      </c>
      <c r="P36" s="65">
        <v>0</v>
      </c>
      <c r="Q36" s="1"/>
      <c r="R36" s="1"/>
    </row>
    <row r="37" spans="1:18" ht="28.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>
        <v>1010</v>
      </c>
      <c r="K37" s="45">
        <f>J37</f>
        <v>1010</v>
      </c>
      <c r="L37" s="33">
        <f>2533.08+K37</f>
        <v>3543.08</v>
      </c>
      <c r="M37" s="220">
        <f>E37-K37</f>
        <v>-1010</v>
      </c>
      <c r="N37" s="63">
        <f>F37-L37</f>
        <v>-3543.08</v>
      </c>
      <c r="O37" s="64">
        <v>0</v>
      </c>
      <c r="P37" s="65">
        <v>0</v>
      </c>
      <c r="Q37" s="1"/>
      <c r="R37" s="1"/>
    </row>
    <row r="38" spans="1:18" ht="26.2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63230</v>
      </c>
      <c r="G38" s="54">
        <f>G40</f>
        <v>4898.23</v>
      </c>
      <c r="H38" s="54"/>
      <c r="I38" s="54"/>
      <c r="J38" s="54"/>
      <c r="K38" s="55">
        <f>K39+K40</f>
        <v>4898.23</v>
      </c>
      <c r="L38" s="55">
        <f>L40+L39</f>
        <v>25800.17</v>
      </c>
      <c r="M38" s="56">
        <f>E38-K38</f>
        <v>3947.7700000000004</v>
      </c>
      <c r="N38" s="57">
        <f>F38-L38</f>
        <v>37429.83</v>
      </c>
      <c r="O38" s="58">
        <v>0</v>
      </c>
      <c r="P38" s="59">
        <v>0</v>
      </c>
      <c r="Q38" s="1"/>
      <c r="R38" s="1"/>
    </row>
    <row r="39" spans="1:18" ht="21.7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1.5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54384+E40</f>
        <v>63230</v>
      </c>
      <c r="G40" s="62">
        <f>G41+G42</f>
        <v>4898.23</v>
      </c>
      <c r="H40" s="62"/>
      <c r="I40" s="62"/>
      <c r="J40" s="62"/>
      <c r="K40" s="33">
        <f>0+G40</f>
        <v>4898.23</v>
      </c>
      <c r="L40" s="33">
        <f>L41+L42+L43</f>
        <v>25800.17</v>
      </c>
      <c r="M40" s="34">
        <f>E40-K40</f>
        <v>3947.7700000000004</v>
      </c>
      <c r="N40" s="63">
        <f aca="true" t="shared" si="2" ref="M40:N55">F40-L40</f>
        <v>37429.83</v>
      </c>
      <c r="O40" s="64">
        <v>0</v>
      </c>
      <c r="P40" s="65">
        <v>0</v>
      </c>
      <c r="Q40" s="1"/>
      <c r="R40" s="1"/>
    </row>
    <row r="41" spans="1:18" ht="24" customHeight="1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11384+E41</f>
        <v>14230</v>
      </c>
      <c r="G41" s="62">
        <v>2237.33</v>
      </c>
      <c r="H41" s="62"/>
      <c r="I41" s="62"/>
      <c r="J41" s="62"/>
      <c r="K41" s="33">
        <f>0+G41</f>
        <v>2237.33</v>
      </c>
      <c r="L41" s="33">
        <f>8587.24+K41</f>
        <v>10824.57</v>
      </c>
      <c r="M41" s="34">
        <f t="shared" si="2"/>
        <v>608.6700000000001</v>
      </c>
      <c r="N41" s="63">
        <f t="shared" si="2"/>
        <v>3405.4300000000003</v>
      </c>
      <c r="O41" s="64">
        <v>0</v>
      </c>
      <c r="P41" s="65">
        <v>0</v>
      </c>
      <c r="Q41" s="1"/>
      <c r="R41" s="1"/>
    </row>
    <row r="42" spans="1:18" ht="21" customHeight="1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40000+E42</f>
        <v>46000</v>
      </c>
      <c r="G42" s="62">
        <v>2660.9</v>
      </c>
      <c r="H42" s="62"/>
      <c r="I42" s="62"/>
      <c r="J42" s="62"/>
      <c r="K42" s="33">
        <f>0+G42</f>
        <v>2660.9</v>
      </c>
      <c r="L42" s="33">
        <f>10201.7+K42</f>
        <v>12862.6</v>
      </c>
      <c r="M42" s="34">
        <f t="shared" si="2"/>
        <v>3339.1</v>
      </c>
      <c r="N42" s="63">
        <f t="shared" si="2"/>
        <v>33137.4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33.75" customHeight="1" thickBot="1">
      <c r="A44" s="51" t="s">
        <v>69</v>
      </c>
      <c r="B44" s="357" t="s">
        <v>70</v>
      </c>
      <c r="C44" s="358"/>
      <c r="D44" s="359"/>
      <c r="E44" s="53">
        <f>SUM(E47:E49)</f>
        <v>239000</v>
      </c>
      <c r="F44" s="73">
        <f>F45+F46+F47</f>
        <v>1088000</v>
      </c>
      <c r="G44" s="55">
        <f>G45+G46+G47</f>
        <v>140261</v>
      </c>
      <c r="H44" s="75"/>
      <c r="I44" s="75"/>
      <c r="J44" s="54"/>
      <c r="K44" s="55">
        <f>K45+K46+K47</f>
        <v>140261</v>
      </c>
      <c r="L44" s="55">
        <f>L45+L46+L47</f>
        <v>805237</v>
      </c>
      <c r="M44" s="56">
        <f t="shared" si="2"/>
        <v>98739</v>
      </c>
      <c r="N44" s="158">
        <f t="shared" si="2"/>
        <v>282763</v>
      </c>
      <c r="O44" s="58">
        <v>0</v>
      </c>
      <c r="P44" s="59">
        <v>0</v>
      </c>
      <c r="Q44" s="1"/>
      <c r="R44" s="1"/>
    </row>
    <row r="45" spans="1:18" ht="30" customHeight="1" thickBot="1">
      <c r="A45" s="60" t="s">
        <v>71</v>
      </c>
      <c r="B45" s="301" t="s">
        <v>53</v>
      </c>
      <c r="C45" s="302"/>
      <c r="D45" s="303"/>
      <c r="E45" s="155">
        <f>E48+E49</f>
        <v>239000</v>
      </c>
      <c r="F45" s="31">
        <f>F48+F49+F50</f>
        <v>1088000</v>
      </c>
      <c r="G45" s="33">
        <f>G48+G49</f>
        <v>140261</v>
      </c>
      <c r="H45" s="74"/>
      <c r="I45" s="74"/>
      <c r="J45" s="62"/>
      <c r="K45" s="33">
        <f>0+G45</f>
        <v>140261</v>
      </c>
      <c r="L45" s="33">
        <f>L48+L49</f>
        <v>805237</v>
      </c>
      <c r="M45" s="34">
        <f>E45-K45</f>
        <v>98739</v>
      </c>
      <c r="N45" s="35">
        <f t="shared" si="2"/>
        <v>282763</v>
      </c>
      <c r="O45" s="64">
        <v>0</v>
      </c>
      <c r="P45" s="65">
        <v>0</v>
      </c>
      <c r="Q45" s="1"/>
      <c r="R45" s="1"/>
    </row>
    <row r="46" spans="1:18" ht="23.2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22.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9.25" customHeight="1" thickBot="1">
      <c r="A48" s="60" t="s">
        <v>74</v>
      </c>
      <c r="B48" s="308" t="s">
        <v>75</v>
      </c>
      <c r="C48" s="309"/>
      <c r="D48" s="310"/>
      <c r="E48" s="156">
        <v>239000</v>
      </c>
      <c r="F48" s="31">
        <f>829000+E48</f>
        <v>1068000</v>
      </c>
      <c r="G48" s="74">
        <v>139016</v>
      </c>
      <c r="H48" s="74"/>
      <c r="I48" s="74"/>
      <c r="J48" s="62"/>
      <c r="K48" s="33">
        <f>0+G48</f>
        <v>139016</v>
      </c>
      <c r="L48" s="33">
        <f>659390.5+K48</f>
        <v>798406.5</v>
      </c>
      <c r="M48" s="34">
        <f>E48-K48</f>
        <v>99984</v>
      </c>
      <c r="N48" s="63">
        <f t="shared" si="2"/>
        <v>269593.5</v>
      </c>
      <c r="O48" s="64">
        <v>0</v>
      </c>
      <c r="P48" s="65">
        <v>0</v>
      </c>
      <c r="Q48" s="1"/>
      <c r="R48" s="37"/>
    </row>
    <row r="49" spans="1:18" ht="32.25" customHeight="1" thickBot="1">
      <c r="A49" s="60" t="s">
        <v>76</v>
      </c>
      <c r="B49" s="308" t="s">
        <v>77</v>
      </c>
      <c r="C49" s="309"/>
      <c r="D49" s="310"/>
      <c r="E49" s="156"/>
      <c r="F49" s="31">
        <f>20000+E49</f>
        <v>20000</v>
      </c>
      <c r="G49" s="74">
        <v>1245</v>
      </c>
      <c r="H49" s="74"/>
      <c r="I49" s="74"/>
      <c r="J49" s="62"/>
      <c r="K49" s="33">
        <f t="shared" si="3"/>
        <v>1245</v>
      </c>
      <c r="L49" s="33">
        <f>5585.5+K49</f>
        <v>6830.5</v>
      </c>
      <c r="M49" s="34">
        <f t="shared" si="2"/>
        <v>-1245</v>
      </c>
      <c r="N49" s="63">
        <f t="shared" si="2"/>
        <v>13169.5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9.25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3.25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2" customHeight="1" thickBot="1">
      <c r="A54" s="51" t="s">
        <v>84</v>
      </c>
      <c r="B54" s="357" t="s">
        <v>85</v>
      </c>
      <c r="C54" s="358"/>
      <c r="D54" s="359"/>
      <c r="E54" s="53">
        <f>SUM(E59:E63)</f>
        <v>58200</v>
      </c>
      <c r="F54" s="73">
        <f>F55+F56+F58</f>
        <v>1232900</v>
      </c>
      <c r="G54" s="55">
        <f>G55+G56+G57+G58</f>
        <v>0</v>
      </c>
      <c r="H54" s="55">
        <f>H55+H56+H57+H58</f>
        <v>185381.43</v>
      </c>
      <c r="I54" s="55"/>
      <c r="J54" s="55">
        <f>J55+J56+J57+J58</f>
        <v>0</v>
      </c>
      <c r="K54" s="55">
        <f>K55+K56+K57</f>
        <v>185381.43</v>
      </c>
      <c r="L54" s="55">
        <f>L55+L56+L57+L58</f>
        <v>1429902.41</v>
      </c>
      <c r="M54" s="56">
        <f t="shared" si="2"/>
        <v>-127181.43</v>
      </c>
      <c r="N54" s="70">
        <f t="shared" si="2"/>
        <v>-197002.40999999992</v>
      </c>
      <c r="O54" s="58">
        <v>0</v>
      </c>
      <c r="P54" s="59">
        <v>0</v>
      </c>
      <c r="Q54" s="1"/>
      <c r="R54" s="37">
        <f>F59+F60+F62+F63-F58</f>
        <v>1232900</v>
      </c>
    </row>
    <row r="55" spans="1:18" ht="30.75" customHeight="1" thickBot="1">
      <c r="A55" s="60" t="s">
        <v>86</v>
      </c>
      <c r="B55" s="301" t="s">
        <v>53</v>
      </c>
      <c r="C55" s="302"/>
      <c r="D55" s="303"/>
      <c r="E55" s="81"/>
      <c r="F55" s="31">
        <f>0+E55</f>
        <v>0</v>
      </c>
      <c r="G55" s="33">
        <f>G60+G62+G63+G59</f>
        <v>0</v>
      </c>
      <c r="H55" s="33"/>
      <c r="I55" s="33"/>
      <c r="J55" s="33"/>
      <c r="K55" s="33">
        <f>0+G55</f>
        <v>0</v>
      </c>
      <c r="L55" s="33">
        <f>274277.94+K55</f>
        <v>274277.94</v>
      </c>
      <c r="M55" s="34">
        <f t="shared" si="2"/>
        <v>0</v>
      </c>
      <c r="N55" s="63">
        <f t="shared" si="2"/>
        <v>-274277.94</v>
      </c>
      <c r="O55" s="64">
        <v>0</v>
      </c>
      <c r="P55" s="65">
        <v>0</v>
      </c>
      <c r="Q55" s="1"/>
      <c r="R55" s="37"/>
    </row>
    <row r="56" spans="1:18" ht="30" customHeight="1" thickBot="1">
      <c r="A56" s="60" t="s">
        <v>87</v>
      </c>
      <c r="B56" s="388" t="s">
        <v>88</v>
      </c>
      <c r="C56" s="389"/>
      <c r="D56" s="390"/>
      <c r="E56" s="81">
        <f>E59+E61+E63+E60+E62</f>
        <v>58200</v>
      </c>
      <c r="F56" s="31">
        <f>1174700+E56</f>
        <v>1232900</v>
      </c>
      <c r="G56" s="33"/>
      <c r="H56" s="33">
        <f>H59+H60+H62+H63</f>
        <v>185381.43</v>
      </c>
      <c r="I56" s="33"/>
      <c r="J56" s="33"/>
      <c r="K56" s="33">
        <f>0+H56</f>
        <v>185381.43</v>
      </c>
      <c r="L56" s="33">
        <f>957644.54+K56</f>
        <v>1143025.97</v>
      </c>
      <c r="M56" s="34">
        <f aca="true" t="shared" si="5" ref="M56:N71">E56-K56</f>
        <v>-127181.43</v>
      </c>
      <c r="N56" s="63">
        <f t="shared" si="5"/>
        <v>89874.03000000003</v>
      </c>
      <c r="O56" s="64">
        <v>0</v>
      </c>
      <c r="P56" s="65">
        <v>0</v>
      </c>
      <c r="Q56" s="1"/>
      <c r="R56" s="37"/>
    </row>
    <row r="57" spans="1:18" ht="18.75" customHeight="1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4"/>
        <v>0</v>
      </c>
      <c r="M57" s="34">
        <f t="shared" si="5"/>
        <v>0</v>
      </c>
      <c r="N57" s="63">
        <f t="shared" si="5"/>
        <v>0</v>
      </c>
      <c r="O57" s="64">
        <v>0</v>
      </c>
      <c r="P57" s="65">
        <v>0</v>
      </c>
      <c r="Q57" s="1"/>
      <c r="R57" s="37">
        <f>L59+L60+L61+L62+L63</f>
        <v>1429902.41</v>
      </c>
    </row>
    <row r="58" spans="1:18" ht="30.7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 t="shared" si="5"/>
        <v>0</v>
      </c>
      <c r="N58" s="63">
        <f t="shared" si="5"/>
        <v>-12598.5</v>
      </c>
      <c r="O58" s="64">
        <v>0</v>
      </c>
      <c r="P58" s="65">
        <v>0</v>
      </c>
      <c r="Q58" s="1"/>
      <c r="R58" s="37">
        <f>F59+F60+F62+F63</f>
        <v>1232900</v>
      </c>
    </row>
    <row r="59" spans="1:18" ht="29.25" customHeight="1" thickBot="1">
      <c r="A59" s="60" t="s">
        <v>91</v>
      </c>
      <c r="B59" s="396" t="s">
        <v>92</v>
      </c>
      <c r="C59" s="397"/>
      <c r="D59" s="398"/>
      <c r="E59" s="156">
        <v>40000</v>
      </c>
      <c r="F59" s="31">
        <f>273000+E59</f>
        <v>313000</v>
      </c>
      <c r="G59" s="74"/>
      <c r="H59" s="74">
        <v>63082.93</v>
      </c>
      <c r="I59" s="74"/>
      <c r="J59" s="33"/>
      <c r="K59" s="33">
        <f>J59+G59+H59</f>
        <v>63082.93</v>
      </c>
      <c r="L59" s="33">
        <f>273177.46+K59</f>
        <v>336260.39</v>
      </c>
      <c r="M59" s="34">
        <f t="shared" si="5"/>
        <v>-23082.93</v>
      </c>
      <c r="N59" s="35">
        <f t="shared" si="5"/>
        <v>-23260.390000000014</v>
      </c>
      <c r="O59" s="64">
        <v>0</v>
      </c>
      <c r="P59" s="65">
        <v>0</v>
      </c>
      <c r="Q59" s="1"/>
      <c r="R59" s="80"/>
    </row>
    <row r="60" spans="1:18" ht="24" customHeight="1" thickBot="1">
      <c r="A60" s="60" t="s">
        <v>93</v>
      </c>
      <c r="B60" s="325" t="s">
        <v>94</v>
      </c>
      <c r="C60" s="326"/>
      <c r="D60" s="326"/>
      <c r="E60" s="152"/>
      <c r="F60" s="31">
        <f>830000+E60</f>
        <v>830000</v>
      </c>
      <c r="G60" s="74"/>
      <c r="H60" s="74">
        <v>109021.37</v>
      </c>
      <c r="I60" s="74"/>
      <c r="J60" s="33"/>
      <c r="K60" s="33">
        <f>J60+G60+H60</f>
        <v>109021.37</v>
      </c>
      <c r="L60" s="33">
        <f>927529.01+K60</f>
        <v>1036550.38</v>
      </c>
      <c r="M60" s="34">
        <f t="shared" si="5"/>
        <v>-109021.37</v>
      </c>
      <c r="N60" s="63">
        <f t="shared" si="5"/>
        <v>-206550.38</v>
      </c>
      <c r="O60" s="64">
        <v>0</v>
      </c>
      <c r="P60" s="65">
        <v>0</v>
      </c>
      <c r="Q60" s="1"/>
      <c r="R60" s="37"/>
    </row>
    <row r="61" spans="1:18" ht="22.5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J61+G61+H61</f>
        <v>0</v>
      </c>
      <c r="L61" s="33">
        <f>0+K61</f>
        <v>0</v>
      </c>
      <c r="M61" s="34">
        <f t="shared" si="5"/>
        <v>0</v>
      </c>
      <c r="N61" s="63">
        <f t="shared" si="5"/>
        <v>0</v>
      </c>
      <c r="O61" s="64">
        <v>0</v>
      </c>
      <c r="P61" s="65">
        <v>0</v>
      </c>
      <c r="Q61" s="1"/>
      <c r="R61" s="1"/>
    </row>
    <row r="62" spans="1:18" ht="23.25" customHeight="1" thickBot="1">
      <c r="A62" s="60" t="s">
        <v>96</v>
      </c>
      <c r="B62" s="325" t="s">
        <v>97</v>
      </c>
      <c r="C62" s="326"/>
      <c r="D62" s="327"/>
      <c r="E62" s="152">
        <v>9600</v>
      </c>
      <c r="F62" s="31">
        <f>37800+E62</f>
        <v>47400</v>
      </c>
      <c r="G62" s="83"/>
      <c r="H62" s="74">
        <v>7092.04</v>
      </c>
      <c r="I62" s="74"/>
      <c r="J62" s="74"/>
      <c r="K62" s="33">
        <f>J62+G62+H62</f>
        <v>7092.04</v>
      </c>
      <c r="L62" s="33">
        <f>23403.72+K62</f>
        <v>30495.760000000002</v>
      </c>
      <c r="M62" s="34">
        <f t="shared" si="5"/>
        <v>2507.96</v>
      </c>
      <c r="N62" s="63">
        <f t="shared" si="5"/>
        <v>16904.239999999998</v>
      </c>
      <c r="O62" s="64">
        <v>0</v>
      </c>
      <c r="P62" s="65">
        <v>0</v>
      </c>
      <c r="Q62" s="1"/>
      <c r="R62" s="1"/>
    </row>
    <row r="63" spans="1:18" ht="32.25" customHeight="1" thickBot="1">
      <c r="A63" s="60" t="s">
        <v>98</v>
      </c>
      <c r="B63" s="325" t="s">
        <v>99</v>
      </c>
      <c r="C63" s="326"/>
      <c r="D63" s="327"/>
      <c r="E63" s="152">
        <v>8600</v>
      </c>
      <c r="F63" s="31">
        <f>33900+E63</f>
        <v>42500</v>
      </c>
      <c r="G63" s="85"/>
      <c r="H63" s="74">
        <v>6185.09</v>
      </c>
      <c r="I63" s="74"/>
      <c r="J63" s="74"/>
      <c r="K63" s="33">
        <f>J63+G63+H63</f>
        <v>6185.09</v>
      </c>
      <c r="L63" s="33">
        <f>20410.79+K63</f>
        <v>26595.88</v>
      </c>
      <c r="M63" s="34">
        <f t="shared" si="5"/>
        <v>2414.91</v>
      </c>
      <c r="N63" s="63">
        <f t="shared" si="5"/>
        <v>15904.119999999999</v>
      </c>
      <c r="O63" s="64">
        <v>0</v>
      </c>
      <c r="P63" s="65">
        <v>0</v>
      </c>
      <c r="Q63" s="1"/>
      <c r="R63" s="1"/>
    </row>
    <row r="64" spans="1:18" ht="35.25" customHeight="1" thickBot="1">
      <c r="A64" s="86" t="s">
        <v>100</v>
      </c>
      <c r="B64" s="382" t="s">
        <v>101</v>
      </c>
      <c r="C64" s="383"/>
      <c r="D64" s="384"/>
      <c r="E64" s="53">
        <f>E65</f>
        <v>200000</v>
      </c>
      <c r="F64" s="73">
        <f>F65+F66</f>
        <v>400000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6700</v>
      </c>
      <c r="M64" s="56">
        <f t="shared" si="5"/>
        <v>200000</v>
      </c>
      <c r="N64" s="70">
        <f t="shared" si="5"/>
        <v>393300</v>
      </c>
      <c r="O64" s="58">
        <v>0</v>
      </c>
      <c r="P64" s="59">
        <v>0</v>
      </c>
      <c r="Q64" s="1"/>
      <c r="R64" s="1"/>
    </row>
    <row r="65" spans="1:18" ht="19.5" customHeight="1" thickBot="1">
      <c r="A65" s="60" t="s">
        <v>102</v>
      </c>
      <c r="B65" s="351" t="s">
        <v>53</v>
      </c>
      <c r="C65" s="352"/>
      <c r="D65" s="353"/>
      <c r="E65" s="45">
        <v>200000</v>
      </c>
      <c r="F65" s="31">
        <f>200000+E65</f>
        <v>400000</v>
      </c>
      <c r="G65" s="74"/>
      <c r="H65" s="33"/>
      <c r="I65" s="33"/>
      <c r="J65" s="33"/>
      <c r="K65" s="33">
        <f>0+G65</f>
        <v>0</v>
      </c>
      <c r="L65" s="33">
        <f>6700+K65</f>
        <v>6700</v>
      </c>
      <c r="M65" s="34">
        <f t="shared" si="5"/>
        <v>200000</v>
      </c>
      <c r="N65" s="35">
        <f t="shared" si="5"/>
        <v>393300</v>
      </c>
      <c r="O65" s="64">
        <v>0</v>
      </c>
      <c r="P65" s="65">
        <v>0</v>
      </c>
      <c r="Q65" s="1"/>
      <c r="R65" s="1"/>
    </row>
    <row r="66" spans="1:18" ht="18.75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5"/>
        <v>0</v>
      </c>
      <c r="N66" s="35">
        <f t="shared" si="5"/>
        <v>0</v>
      </c>
      <c r="O66" s="64">
        <v>0</v>
      </c>
      <c r="P66" s="65">
        <v>0</v>
      </c>
      <c r="Q66" s="1"/>
      <c r="R66" s="1"/>
    </row>
    <row r="67" spans="1:18" ht="34.5" customHeight="1" thickBot="1">
      <c r="A67" s="69" t="s">
        <v>105</v>
      </c>
      <c r="B67" s="385" t="s">
        <v>209</v>
      </c>
      <c r="C67" s="386"/>
      <c r="D67" s="387"/>
      <c r="E67" s="53">
        <f>E68</f>
        <v>216250</v>
      </c>
      <c r="F67" s="73">
        <f>F68+F69+F70</f>
        <v>316250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L68+L69+L70</f>
        <v>25730</v>
      </c>
      <c r="M67" s="56">
        <f t="shared" si="5"/>
        <v>216250</v>
      </c>
      <c r="N67" s="70">
        <f t="shared" si="5"/>
        <v>290520</v>
      </c>
      <c r="O67" s="58">
        <v>0</v>
      </c>
      <c r="P67" s="59">
        <v>0</v>
      </c>
      <c r="Q67" s="1"/>
      <c r="R67" s="37"/>
    </row>
    <row r="68" spans="1:18" ht="29.25" customHeight="1" thickBot="1">
      <c r="A68" s="60" t="s">
        <v>107</v>
      </c>
      <c r="B68" s="319" t="s">
        <v>53</v>
      </c>
      <c r="C68" s="320"/>
      <c r="D68" s="321"/>
      <c r="E68" s="61">
        <v>216250</v>
      </c>
      <c r="F68" s="31">
        <f>100000+E68</f>
        <v>316250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216250</v>
      </c>
      <c r="N68" s="35">
        <f t="shared" si="5"/>
        <v>315250</v>
      </c>
      <c r="O68" s="64">
        <v>0</v>
      </c>
      <c r="P68" s="65">
        <v>0</v>
      </c>
      <c r="Q68" s="1"/>
      <c r="R68" s="37"/>
    </row>
    <row r="69" spans="1:18" ht="30" customHeight="1" thickBot="1">
      <c r="A69" s="60" t="s">
        <v>108</v>
      </c>
      <c r="B69" s="301" t="s">
        <v>104</v>
      </c>
      <c r="C69" s="302"/>
      <c r="D69" s="303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 t="shared" si="5"/>
        <v>0</v>
      </c>
      <c r="N69" s="35">
        <f t="shared" si="5"/>
        <v>-24730</v>
      </c>
      <c r="O69" s="64">
        <v>0</v>
      </c>
      <c r="P69" s="65">
        <v>0</v>
      </c>
      <c r="Q69" s="1"/>
      <c r="R69" s="37"/>
    </row>
    <row r="70" spans="1:18" ht="28.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5"/>
        <v>0</v>
      </c>
      <c r="N70" s="35">
        <f t="shared" si="5"/>
        <v>0</v>
      </c>
      <c r="O70" s="64">
        <v>0</v>
      </c>
      <c r="P70" s="65">
        <v>0</v>
      </c>
      <c r="Q70" s="1"/>
      <c r="R70" s="37"/>
    </row>
    <row r="71" spans="1:18" ht="28.5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15000</v>
      </c>
      <c r="G71" s="75">
        <f>G72+G73</f>
        <v>1232.34</v>
      </c>
      <c r="H71" s="55"/>
      <c r="I71" s="55"/>
      <c r="J71" s="55"/>
      <c r="K71" s="55">
        <f>G71</f>
        <v>1232.34</v>
      </c>
      <c r="L71" s="55">
        <f>L72</f>
        <v>39933.34</v>
      </c>
      <c r="M71" s="56">
        <f t="shared" si="5"/>
        <v>1767.66</v>
      </c>
      <c r="N71" s="70">
        <f t="shared" si="5"/>
        <v>-24933.339999999997</v>
      </c>
      <c r="O71" s="58">
        <v>0</v>
      </c>
      <c r="P71" s="59">
        <v>0</v>
      </c>
      <c r="Q71" s="1"/>
      <c r="R71" s="1"/>
    </row>
    <row r="72" spans="1:18" ht="29.25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12000+E72</f>
        <v>15000</v>
      </c>
      <c r="G72" s="74">
        <v>1232.34</v>
      </c>
      <c r="H72" s="33"/>
      <c r="I72" s="33"/>
      <c r="J72" s="33"/>
      <c r="K72" s="33">
        <f>G72</f>
        <v>1232.34</v>
      </c>
      <c r="L72" s="33">
        <f>38701+K72</f>
        <v>39933.34</v>
      </c>
      <c r="M72" s="34">
        <f aca="true" t="shared" si="6" ref="M72:N82">E72-K72</f>
        <v>1767.66</v>
      </c>
      <c r="N72" s="35">
        <f t="shared" si="6"/>
        <v>-24933.339999999997</v>
      </c>
      <c r="O72" s="64">
        <v>0</v>
      </c>
      <c r="P72" s="65">
        <v>0</v>
      </c>
      <c r="Q72" s="1"/>
      <c r="R72" s="1"/>
    </row>
    <row r="73" spans="1:18" ht="28.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6"/>
        <v>0</v>
      </c>
      <c r="N73" s="35">
        <f t="shared" si="6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379" t="s">
        <v>113</v>
      </c>
      <c r="C74" s="380"/>
      <c r="D74" s="381"/>
      <c r="E74" s="53">
        <f>E75</f>
        <v>5000</v>
      </c>
      <c r="F74" s="73">
        <f>F75+F76</f>
        <v>117000</v>
      </c>
      <c r="G74" s="75">
        <f>G75+G76+G77</f>
        <v>6400.72</v>
      </c>
      <c r="H74" s="55"/>
      <c r="I74" s="55">
        <f>I75+I76</f>
        <v>0</v>
      </c>
      <c r="J74" s="55"/>
      <c r="K74" s="55">
        <f>K75+K76+K77</f>
        <v>6400.72</v>
      </c>
      <c r="L74" s="55">
        <f>L75+L76+L77</f>
        <v>27342.72</v>
      </c>
      <c r="M74" s="56">
        <f t="shared" si="6"/>
        <v>-1400.7200000000003</v>
      </c>
      <c r="N74" s="70">
        <f t="shared" si="6"/>
        <v>89657.28</v>
      </c>
      <c r="O74" s="58">
        <v>0</v>
      </c>
      <c r="P74" s="59">
        <v>0</v>
      </c>
      <c r="Q74" s="1"/>
      <c r="R74" s="1"/>
    </row>
    <row r="75" spans="1:18" ht="27.75" customHeight="1" thickBot="1">
      <c r="A75" s="60" t="s">
        <v>114</v>
      </c>
      <c r="B75" s="301" t="s">
        <v>53</v>
      </c>
      <c r="C75" s="302"/>
      <c r="D75" s="303"/>
      <c r="E75" s="61">
        <v>5000</v>
      </c>
      <c r="F75" s="31">
        <f>112000+E75</f>
        <v>117000</v>
      </c>
      <c r="G75" s="74">
        <v>6400.72</v>
      </c>
      <c r="H75" s="33"/>
      <c r="I75" s="33"/>
      <c r="J75" s="33"/>
      <c r="K75" s="33">
        <f>G75</f>
        <v>6400.72</v>
      </c>
      <c r="L75" s="33">
        <f>17942+K75</f>
        <v>24342.72</v>
      </c>
      <c r="M75" s="34">
        <f>E75-K75</f>
        <v>-1400.7200000000003</v>
      </c>
      <c r="N75" s="35">
        <f t="shared" si="6"/>
        <v>92657.28</v>
      </c>
      <c r="O75" s="64">
        <v>0</v>
      </c>
      <c r="P75" s="65">
        <v>0</v>
      </c>
      <c r="Q75" s="1"/>
      <c r="R75" s="1"/>
    </row>
    <row r="76" spans="1:18" ht="30" customHeight="1" thickBot="1">
      <c r="A76" s="60" t="s">
        <v>115</v>
      </c>
      <c r="B76" s="388" t="s">
        <v>104</v>
      </c>
      <c r="C76" s="389"/>
      <c r="D76" s="390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6"/>
        <v>0</v>
      </c>
      <c r="N76" s="35">
        <f t="shared" si="6"/>
        <v>-3000</v>
      </c>
      <c r="O76" s="64">
        <v>0</v>
      </c>
      <c r="P76" s="65">
        <v>0</v>
      </c>
      <c r="Q76" s="1"/>
      <c r="R76" s="1"/>
    </row>
    <row r="77" spans="1:18" ht="27" customHeight="1" thickBot="1">
      <c r="A77" s="60" t="s">
        <v>116</v>
      </c>
      <c r="B77" s="301" t="s">
        <v>55</v>
      </c>
      <c r="C77" s="302"/>
      <c r="D77" s="303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6"/>
        <v>0</v>
      </c>
      <c r="N77" s="35">
        <f t="shared" si="6"/>
        <v>0</v>
      </c>
      <c r="O77" s="64">
        <v>0</v>
      </c>
      <c r="P77" s="65">
        <v>0</v>
      </c>
      <c r="Q77" s="1"/>
      <c r="R77" s="1"/>
    </row>
    <row r="78" spans="1:18" ht="44.2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2500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6"/>
        <v>0</v>
      </c>
      <c r="N78" s="70">
        <f t="shared" si="6"/>
        <v>2500</v>
      </c>
      <c r="O78" s="58">
        <v>0</v>
      </c>
      <c r="P78" s="59">
        <v>0</v>
      </c>
      <c r="Q78" s="1"/>
      <c r="R78" s="1"/>
    </row>
    <row r="79" spans="1:18" ht="31.5" customHeight="1" thickBot="1">
      <c r="A79" s="60" t="s">
        <v>119</v>
      </c>
      <c r="B79" s="301" t="s">
        <v>53</v>
      </c>
      <c r="C79" s="302"/>
      <c r="D79" s="303"/>
      <c r="E79" s="81">
        <v>0</v>
      </c>
      <c r="F79" s="31">
        <f>2500+E79</f>
        <v>2500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6"/>
        <v>2500</v>
      </c>
      <c r="O79" s="64">
        <v>0</v>
      </c>
      <c r="P79" s="65">
        <v>0</v>
      </c>
      <c r="Q79" s="1"/>
      <c r="R79" s="1"/>
    </row>
    <row r="80" spans="1:18" ht="24.7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</f>
        <v>15152.88</v>
      </c>
      <c r="H80" s="55"/>
      <c r="I80" s="55"/>
      <c r="J80" s="55"/>
      <c r="K80" s="55">
        <f>0+J80+G80</f>
        <v>15152.88</v>
      </c>
      <c r="L80" s="55">
        <f>0+K80</f>
        <v>15152.88</v>
      </c>
      <c r="M80" s="56">
        <f t="shared" si="6"/>
        <v>-15152.88</v>
      </c>
      <c r="N80" s="70">
        <f t="shared" si="6"/>
        <v>3347.120000000001</v>
      </c>
      <c r="O80" s="58">
        <v>0</v>
      </c>
      <c r="P80" s="59">
        <v>0</v>
      </c>
      <c r="Q80" s="1"/>
      <c r="R80" s="1"/>
    </row>
    <row r="81" spans="1:18" ht="30" customHeight="1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>
        <v>15152.88</v>
      </c>
      <c r="H81" s="90"/>
      <c r="I81" s="91"/>
      <c r="J81" s="90"/>
      <c r="K81" s="33">
        <f>0+J81+G81</f>
        <v>15152.88</v>
      </c>
      <c r="L81" s="33">
        <f>0+K81</f>
        <v>15152.88</v>
      </c>
      <c r="M81" s="34">
        <f t="shared" si="6"/>
        <v>-15152.88</v>
      </c>
      <c r="N81" s="35">
        <f t="shared" si="6"/>
        <v>3347.120000000001</v>
      </c>
      <c r="O81" s="64">
        <v>0</v>
      </c>
      <c r="P81" s="65">
        <v>0</v>
      </c>
      <c r="Q81" s="1"/>
      <c r="R81" s="1"/>
    </row>
    <row r="82" spans="1:18" ht="34.5" customHeight="1" thickBot="1">
      <c r="A82" s="60" t="s">
        <v>123</v>
      </c>
      <c r="B82" s="388" t="s">
        <v>55</v>
      </c>
      <c r="C82" s="389"/>
      <c r="D82" s="3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6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6.75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72" customHeight="1" thickBot="1">
      <c r="A86" s="361"/>
      <c r="B86" s="371"/>
      <c r="C86" s="372"/>
      <c r="D86" s="373"/>
      <c r="E86" s="375"/>
      <c r="F86" s="377"/>
      <c r="G86" s="176" t="s">
        <v>45</v>
      </c>
      <c r="H86" s="176" t="s">
        <v>46</v>
      </c>
      <c r="I86" s="176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176">
        <v>3</v>
      </c>
      <c r="G87" s="176">
        <v>4</v>
      </c>
      <c r="H87" s="176">
        <v>5</v>
      </c>
      <c r="I87" s="7">
        <v>6</v>
      </c>
      <c r="J87" s="7">
        <v>7</v>
      </c>
      <c r="K87" s="48">
        <v>8</v>
      </c>
      <c r="L87" s="180">
        <v>9</v>
      </c>
      <c r="M87" s="7">
        <v>10</v>
      </c>
      <c r="N87" s="180">
        <v>11</v>
      </c>
      <c r="O87" s="7">
        <v>12</v>
      </c>
      <c r="P87" s="180">
        <v>13</v>
      </c>
      <c r="Q87" s="1"/>
      <c r="R87" s="1"/>
    </row>
    <row r="88" spans="1:18" ht="41.25" customHeight="1" thickBot="1">
      <c r="A88" s="51" t="s">
        <v>125</v>
      </c>
      <c r="B88" s="357" t="s">
        <v>126</v>
      </c>
      <c r="C88" s="358"/>
      <c r="D88" s="359"/>
      <c r="E88" s="53">
        <f>E89</f>
        <v>29450</v>
      </c>
      <c r="F88" s="73">
        <f>F89+F90+F91+F92</f>
        <v>161250</v>
      </c>
      <c r="G88" s="53">
        <f>G89+G90+G91+G92</f>
        <v>28414.43</v>
      </c>
      <c r="H88" s="55"/>
      <c r="I88" s="55">
        <f>I89+I90+I91</f>
        <v>0</v>
      </c>
      <c r="J88" s="55">
        <f>J89+J90+J91+J92</f>
        <v>85.09</v>
      </c>
      <c r="K88" s="93">
        <f>K89+K90+K91+K92</f>
        <v>28499.52</v>
      </c>
      <c r="L88" s="55">
        <f>L89+L90+L91+L92</f>
        <v>120160.58</v>
      </c>
      <c r="M88" s="56">
        <f aca="true" t="shared" si="7" ref="M88:N103">E88-K88</f>
        <v>950.4799999999996</v>
      </c>
      <c r="N88" s="70">
        <f t="shared" si="7"/>
        <v>41089.42</v>
      </c>
      <c r="O88" s="58">
        <v>0</v>
      </c>
      <c r="P88" s="59">
        <v>0</v>
      </c>
      <c r="Q88" s="37"/>
      <c r="R88" s="1"/>
    </row>
    <row r="89" spans="1:18" ht="30" customHeight="1" thickBot="1">
      <c r="A89" s="60" t="s">
        <v>127</v>
      </c>
      <c r="B89" s="301" t="s">
        <v>53</v>
      </c>
      <c r="C89" s="302"/>
      <c r="D89" s="303"/>
      <c r="E89" s="61">
        <f>E93+E94+E96+E97+E98+E100+E99+E95</f>
        <v>29450</v>
      </c>
      <c r="F89" s="31">
        <f>131800+E89</f>
        <v>161250</v>
      </c>
      <c r="G89" s="45">
        <f>G93+G94+G96+G97+G98+G99+G100</f>
        <v>28414.43</v>
      </c>
      <c r="H89" s="33"/>
      <c r="I89" s="33"/>
      <c r="J89" s="33"/>
      <c r="K89" s="94">
        <f>G89</f>
        <v>28414.43</v>
      </c>
      <c r="L89" s="33">
        <f>L93+L94+L96+L97+L98+L99+L100+L95-59.4-95.55</f>
        <v>119920.54000000001</v>
      </c>
      <c r="M89" s="34">
        <f t="shared" si="7"/>
        <v>1035.5699999999997</v>
      </c>
      <c r="N89" s="35">
        <f t="shared" si="7"/>
        <v>41329.45999999999</v>
      </c>
      <c r="O89" s="64">
        <v>0</v>
      </c>
      <c r="P89" s="65">
        <v>0</v>
      </c>
      <c r="Q89" s="37"/>
      <c r="R89" s="1"/>
    </row>
    <row r="90" spans="1:18" ht="23.25" customHeight="1" thickBot="1">
      <c r="A90" s="60" t="s">
        <v>128</v>
      </c>
      <c r="B90" s="301" t="s">
        <v>51</v>
      </c>
      <c r="C90" s="302"/>
      <c r="D90" s="303"/>
      <c r="E90" s="61"/>
      <c r="F90" s="31"/>
      <c r="G90" s="45"/>
      <c r="H90" s="33"/>
      <c r="I90" s="33"/>
      <c r="J90" s="33"/>
      <c r="K90" s="94">
        <f aca="true" t="shared" si="8" ref="K90:K99">G90</f>
        <v>0</v>
      </c>
      <c r="L90" s="33"/>
      <c r="M90" s="34">
        <f t="shared" si="7"/>
        <v>0</v>
      </c>
      <c r="N90" s="35">
        <f t="shared" si="7"/>
        <v>0</v>
      </c>
      <c r="O90" s="64">
        <v>0</v>
      </c>
      <c r="P90" s="65">
        <v>0</v>
      </c>
      <c r="Q90" s="37"/>
      <c r="R90" s="1"/>
    </row>
    <row r="91" spans="1:18" ht="27.75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59.4+K91</f>
        <v>59.4</v>
      </c>
      <c r="M91" s="34">
        <f t="shared" si="7"/>
        <v>0</v>
      </c>
      <c r="N91" s="35">
        <f t="shared" si="7"/>
        <v>-59.4</v>
      </c>
      <c r="O91" s="64">
        <v>0</v>
      </c>
      <c r="P91" s="65">
        <v>0</v>
      </c>
      <c r="Q91" s="37"/>
      <c r="R91" s="1"/>
    </row>
    <row r="92" spans="1:18" ht="27.7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85.09</v>
      </c>
      <c r="K92" s="94">
        <f>J92</f>
        <v>85.09</v>
      </c>
      <c r="L92" s="33">
        <f>95.55+K92</f>
        <v>180.64</v>
      </c>
      <c r="M92" s="34">
        <f t="shared" si="7"/>
        <v>-85.09</v>
      </c>
      <c r="N92" s="35">
        <f t="shared" si="7"/>
        <v>-180.64</v>
      </c>
      <c r="O92" s="64">
        <v>0</v>
      </c>
      <c r="P92" s="65">
        <v>0</v>
      </c>
      <c r="Q92" s="37"/>
      <c r="R92" s="80">
        <f>L93+L94+L95+L96+L97+L98+L99+L100</f>
        <v>120075.49</v>
      </c>
    </row>
    <row r="93" spans="1:18" ht="27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12600+E93</f>
        <v>15750</v>
      </c>
      <c r="G93" s="45">
        <v>3000</v>
      </c>
      <c r="H93" s="74"/>
      <c r="I93" s="74"/>
      <c r="J93" s="74"/>
      <c r="K93" s="94">
        <f t="shared" si="8"/>
        <v>3000</v>
      </c>
      <c r="L93" s="33">
        <f>12000+K93</f>
        <v>15000</v>
      </c>
      <c r="M93" s="34">
        <f t="shared" si="7"/>
        <v>150</v>
      </c>
      <c r="N93" s="35">
        <f t="shared" si="7"/>
        <v>750</v>
      </c>
      <c r="O93" s="64">
        <v>0</v>
      </c>
      <c r="P93" s="65">
        <v>0</v>
      </c>
      <c r="Q93" s="1"/>
      <c r="R93" s="37">
        <f>L89+L90+L91+L92</f>
        <v>120160.58</v>
      </c>
    </row>
    <row r="94" spans="1:18" ht="27" customHeight="1" thickBot="1">
      <c r="A94" s="60" t="s">
        <v>133</v>
      </c>
      <c r="B94" s="322" t="s">
        <v>134</v>
      </c>
      <c r="C94" s="323"/>
      <c r="D94" s="324"/>
      <c r="E94" s="152">
        <v>4800</v>
      </c>
      <c r="F94" s="31">
        <f>19200+E94</f>
        <v>24000</v>
      </c>
      <c r="G94" s="45">
        <v>1500</v>
      </c>
      <c r="H94" s="74"/>
      <c r="I94" s="74"/>
      <c r="J94" s="74"/>
      <c r="K94" s="94">
        <f>G94</f>
        <v>1500</v>
      </c>
      <c r="L94" s="33">
        <f>7950+K94</f>
        <v>9450</v>
      </c>
      <c r="M94" s="34">
        <f t="shared" si="7"/>
        <v>3300</v>
      </c>
      <c r="N94" s="35">
        <f t="shared" si="7"/>
        <v>14550</v>
      </c>
      <c r="O94" s="64">
        <v>0</v>
      </c>
      <c r="P94" s="65">
        <v>0</v>
      </c>
      <c r="Q94" s="1"/>
      <c r="R94" s="1"/>
    </row>
    <row r="95" spans="1:18" ht="33.75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 t="shared" si="8"/>
        <v>0</v>
      </c>
      <c r="L95" s="33">
        <f>0+K95</f>
        <v>0</v>
      </c>
      <c r="M95" s="34">
        <f t="shared" si="7"/>
        <v>0</v>
      </c>
      <c r="N95" s="35">
        <f t="shared" si="7"/>
        <v>0</v>
      </c>
      <c r="O95" s="64">
        <v>0</v>
      </c>
      <c r="P95" s="65">
        <v>0</v>
      </c>
      <c r="Q95" s="1"/>
      <c r="R95" s="1"/>
    </row>
    <row r="96" spans="1:18" ht="27" customHeight="1" thickBot="1">
      <c r="A96" s="60" t="s">
        <v>137</v>
      </c>
      <c r="B96" s="308" t="s">
        <v>138</v>
      </c>
      <c r="C96" s="309"/>
      <c r="D96" s="310"/>
      <c r="E96" s="152">
        <v>1300</v>
      </c>
      <c r="F96" s="31">
        <f>5200+E96</f>
        <v>6500</v>
      </c>
      <c r="G96" s="45">
        <v>9720</v>
      </c>
      <c r="H96" s="74"/>
      <c r="I96" s="74"/>
      <c r="J96" s="74"/>
      <c r="K96" s="94">
        <f t="shared" si="8"/>
        <v>9720</v>
      </c>
      <c r="L96" s="33">
        <f>4335+K96</f>
        <v>14055</v>
      </c>
      <c r="M96" s="34">
        <f t="shared" si="7"/>
        <v>-8420</v>
      </c>
      <c r="N96" s="35">
        <f t="shared" si="7"/>
        <v>-7555</v>
      </c>
      <c r="O96" s="64">
        <v>0</v>
      </c>
      <c r="P96" s="65">
        <v>0</v>
      </c>
      <c r="Q96" s="1"/>
      <c r="R96" s="1"/>
    </row>
    <row r="97" spans="1:18" ht="24.75" customHeight="1" thickBot="1">
      <c r="A97" s="60" t="s">
        <v>139</v>
      </c>
      <c r="B97" s="308" t="s">
        <v>140</v>
      </c>
      <c r="C97" s="309"/>
      <c r="D97" s="310"/>
      <c r="E97" s="152">
        <v>7000</v>
      </c>
      <c r="F97" s="31">
        <f>28000+E97</f>
        <v>35000</v>
      </c>
      <c r="G97" s="45">
        <v>6085.7</v>
      </c>
      <c r="H97" s="74"/>
      <c r="I97" s="74"/>
      <c r="J97" s="74">
        <v>85.09</v>
      </c>
      <c r="K97" s="94">
        <f>G97+I97</f>
        <v>6085.7</v>
      </c>
      <c r="L97" s="33">
        <f>21753.87+K97</f>
        <v>27839.57</v>
      </c>
      <c r="M97" s="34">
        <f t="shared" si="7"/>
        <v>914.3000000000002</v>
      </c>
      <c r="N97" s="35">
        <f t="shared" si="7"/>
        <v>7160.43</v>
      </c>
      <c r="O97" s="64">
        <v>0</v>
      </c>
      <c r="P97" s="65">
        <v>0</v>
      </c>
      <c r="Q97" s="1"/>
      <c r="R97" s="71">
        <f>F93+F94+F95+F96+F97+F98+F99+F100</f>
        <v>161250</v>
      </c>
    </row>
    <row r="98" spans="1:16" ht="23.25" customHeight="1" thickBot="1">
      <c r="A98" s="60" t="s">
        <v>141</v>
      </c>
      <c r="B98" s="463" t="s">
        <v>142</v>
      </c>
      <c r="C98" s="464"/>
      <c r="D98" s="465"/>
      <c r="E98" s="152">
        <v>3300</v>
      </c>
      <c r="F98" s="31">
        <f>13200+E98</f>
        <v>16500</v>
      </c>
      <c r="G98" s="45">
        <v>1750</v>
      </c>
      <c r="H98" s="74"/>
      <c r="I98" s="74"/>
      <c r="J98" s="74"/>
      <c r="K98" s="94">
        <f t="shared" si="8"/>
        <v>1750</v>
      </c>
      <c r="L98" s="33">
        <f>5000+K98</f>
        <v>6750</v>
      </c>
      <c r="M98" s="34">
        <f t="shared" si="7"/>
        <v>1550</v>
      </c>
      <c r="N98" s="35">
        <f t="shared" si="7"/>
        <v>9750</v>
      </c>
      <c r="O98" s="64">
        <v>0</v>
      </c>
      <c r="P98" s="65">
        <v>0</v>
      </c>
    </row>
    <row r="99" spans="1:16" ht="29.25" customHeight="1" thickBot="1">
      <c r="A99" s="60" t="s">
        <v>143</v>
      </c>
      <c r="B99" s="308" t="s">
        <v>144</v>
      </c>
      <c r="C99" s="309"/>
      <c r="D99" s="310"/>
      <c r="E99" s="152"/>
      <c r="F99" s="31">
        <f>14000+E99</f>
        <v>14000</v>
      </c>
      <c r="G99" s="45"/>
      <c r="H99" s="74"/>
      <c r="I99" s="74"/>
      <c r="J99" s="74"/>
      <c r="K99" s="94">
        <f t="shared" si="8"/>
        <v>0</v>
      </c>
      <c r="L99" s="33">
        <f>21546+K99</f>
        <v>21546</v>
      </c>
      <c r="M99" s="34">
        <f t="shared" si="7"/>
        <v>0</v>
      </c>
      <c r="N99" s="35">
        <f t="shared" si="7"/>
        <v>-7546</v>
      </c>
      <c r="O99" s="64">
        <v>0</v>
      </c>
      <c r="P99" s="65">
        <v>0</v>
      </c>
    </row>
    <row r="100" spans="1:16" ht="27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>39600+E100</f>
        <v>49500</v>
      </c>
      <c r="G100" s="45">
        <v>6358.73</v>
      </c>
      <c r="H100" s="74"/>
      <c r="I100" s="74"/>
      <c r="J100" s="74"/>
      <c r="K100" s="94">
        <f>G100</f>
        <v>6358.73</v>
      </c>
      <c r="L100" s="33">
        <f>19076.19+K100</f>
        <v>25434.92</v>
      </c>
      <c r="M100" s="34">
        <f t="shared" si="7"/>
        <v>3541.2700000000004</v>
      </c>
      <c r="N100" s="35">
        <f t="shared" si="7"/>
        <v>24065.08</v>
      </c>
      <c r="O100" s="64">
        <v>0</v>
      </c>
      <c r="P100" s="65">
        <v>0</v>
      </c>
    </row>
    <row r="101" spans="1:18" ht="39" customHeight="1" thickBot="1">
      <c r="A101" s="86" t="s">
        <v>147</v>
      </c>
      <c r="B101" s="354" t="s">
        <v>148</v>
      </c>
      <c r="C101" s="306"/>
      <c r="D101" s="307"/>
      <c r="E101" s="73">
        <f>E102+E103</f>
        <v>239600</v>
      </c>
      <c r="F101" s="73">
        <f>F102+F103+F104+F105</f>
        <v>919650</v>
      </c>
      <c r="G101" s="73">
        <f>G102+G104+G105</f>
        <v>136778.88999999998</v>
      </c>
      <c r="H101" s="75">
        <f>H103</f>
        <v>0</v>
      </c>
      <c r="I101" s="55">
        <f>I104</f>
        <v>0</v>
      </c>
      <c r="J101" s="55"/>
      <c r="K101" s="73">
        <f>G101+H101+I101+J101</f>
        <v>136778.88999999998</v>
      </c>
      <c r="L101" s="55">
        <f>L102+L103+L104+L105</f>
        <v>499788.01</v>
      </c>
      <c r="M101" s="56">
        <f t="shared" si="7"/>
        <v>102821.11000000002</v>
      </c>
      <c r="N101" s="70">
        <f t="shared" si="7"/>
        <v>419861.99</v>
      </c>
      <c r="O101" s="58">
        <v>0</v>
      </c>
      <c r="P101" s="59">
        <v>0</v>
      </c>
      <c r="R101" s="95">
        <f>L102+L104-L101</f>
        <v>-399.5200000000186</v>
      </c>
    </row>
    <row r="102" spans="1:18" ht="38.2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E106+E107+E114+E119+E131+E113+E128+E115+E120+E132+E116</f>
        <v>239600</v>
      </c>
      <c r="F102" s="31">
        <f>680050+E102</f>
        <v>919650</v>
      </c>
      <c r="G102" s="74">
        <f>G113+G114+G118+G120+G128+G119+G130+G131+G132</f>
        <v>136778.88999999998</v>
      </c>
      <c r="H102" s="74"/>
      <c r="I102" s="33"/>
      <c r="J102" s="33"/>
      <c r="K102" s="94">
        <f>G102</f>
        <v>136778.88999999998</v>
      </c>
      <c r="L102" s="33">
        <f>362609.6+K102</f>
        <v>499388.49</v>
      </c>
      <c r="M102" s="34">
        <f t="shared" si="7"/>
        <v>102821.11000000002</v>
      </c>
      <c r="N102" s="35">
        <f t="shared" si="7"/>
        <v>420261.51</v>
      </c>
      <c r="O102" s="64">
        <v>0</v>
      </c>
      <c r="P102" s="65">
        <v>0</v>
      </c>
      <c r="R102" s="95"/>
    </row>
    <row r="103" spans="1:18" ht="27" customHeight="1" thickBot="1">
      <c r="A103" s="60" t="s">
        <v>150</v>
      </c>
      <c r="B103" s="301" t="s">
        <v>51</v>
      </c>
      <c r="C103" s="302"/>
      <c r="D103" s="30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7"/>
        <v>0</v>
      </c>
      <c r="N103" s="35">
        <f t="shared" si="7"/>
        <v>0</v>
      </c>
      <c r="O103" s="64">
        <v>0</v>
      </c>
      <c r="P103" s="65">
        <v>0</v>
      </c>
      <c r="R103" s="96"/>
    </row>
    <row r="104" spans="1:16" ht="33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9" ref="M104:N120">E104-K104</f>
        <v>0</v>
      </c>
      <c r="N104" s="35">
        <f t="shared" si="9"/>
        <v>0</v>
      </c>
      <c r="O104" s="64">
        <v>0</v>
      </c>
      <c r="P104" s="65">
        <v>0</v>
      </c>
    </row>
    <row r="105" spans="1:18" ht="22.5" customHeight="1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/>
      <c r="K105" s="94">
        <f>G105</f>
        <v>0</v>
      </c>
      <c r="L105" s="33">
        <f>399.52+K105</f>
        <v>399.52</v>
      </c>
      <c r="M105" s="34">
        <f t="shared" si="9"/>
        <v>0</v>
      </c>
      <c r="N105" s="35">
        <f t="shared" si="9"/>
        <v>-399.52</v>
      </c>
      <c r="O105" s="64">
        <v>0</v>
      </c>
      <c r="P105" s="65">
        <v>0</v>
      </c>
      <c r="R105" s="95">
        <f>L106+L113+L114+L118+L119+L131+L111+L120+L128+L130+L132</f>
        <v>499787.21</v>
      </c>
    </row>
    <row r="106" spans="1:16" ht="31.5" customHeight="1" thickBot="1">
      <c r="A106" s="60" t="s">
        <v>153</v>
      </c>
      <c r="B106" s="311" t="s">
        <v>154</v>
      </c>
      <c r="C106" s="312"/>
      <c r="D106" s="313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0" ref="K106:K120">G106</f>
        <v>0</v>
      </c>
      <c r="L106" s="33">
        <f>18100+K106</f>
        <v>18100</v>
      </c>
      <c r="M106" s="34">
        <f t="shared" si="9"/>
        <v>0</v>
      </c>
      <c r="N106" s="35">
        <f t="shared" si="9"/>
        <v>21900</v>
      </c>
      <c r="O106" s="64">
        <v>0</v>
      </c>
      <c r="P106" s="65">
        <v>0</v>
      </c>
    </row>
    <row r="107" spans="1:16" ht="32.25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10"/>
        <v>0</v>
      </c>
      <c r="L107" s="33">
        <f>0+K107</f>
        <v>0</v>
      </c>
      <c r="M107" s="34">
        <f t="shared" si="9"/>
        <v>0</v>
      </c>
      <c r="N107" s="35">
        <f t="shared" si="9"/>
        <v>16200</v>
      </c>
      <c r="O107" s="64">
        <v>0</v>
      </c>
      <c r="P107" s="65">
        <v>0</v>
      </c>
    </row>
    <row r="108" spans="1:16" ht="28.5" customHeight="1" thickBot="1">
      <c r="A108" s="60" t="s">
        <v>157</v>
      </c>
      <c r="B108" s="348" t="s">
        <v>158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10"/>
        <v>0</v>
      </c>
      <c r="L108" s="33">
        <f>0+K108</f>
        <v>0</v>
      </c>
      <c r="M108" s="34">
        <f t="shared" si="9"/>
        <v>0</v>
      </c>
      <c r="N108" s="35">
        <f t="shared" si="9"/>
        <v>0</v>
      </c>
      <c r="O108" s="64">
        <v>0</v>
      </c>
      <c r="P108" s="65">
        <v>0</v>
      </c>
    </row>
    <row r="109" spans="1:16" ht="21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0"/>
        <v>0</v>
      </c>
      <c r="L109" s="33">
        <f>0+K109</f>
        <v>0</v>
      </c>
      <c r="M109" s="34">
        <f t="shared" si="9"/>
        <v>0</v>
      </c>
      <c r="N109" s="35">
        <f t="shared" si="9"/>
        <v>0</v>
      </c>
      <c r="O109" s="64">
        <v>0</v>
      </c>
      <c r="P109" s="65">
        <v>0</v>
      </c>
    </row>
    <row r="110" spans="1:18" ht="33.7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0"/>
        <v>0</v>
      </c>
      <c r="L110" s="33">
        <f>0+K110</f>
        <v>0</v>
      </c>
      <c r="M110" s="34">
        <f t="shared" si="9"/>
        <v>0</v>
      </c>
      <c r="N110" s="35">
        <f t="shared" si="9"/>
        <v>0</v>
      </c>
      <c r="O110" s="64">
        <v>0</v>
      </c>
      <c r="P110" s="65">
        <v>0</v>
      </c>
      <c r="R110" s="96"/>
    </row>
    <row r="111" spans="1:16" ht="33.75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10"/>
        <v>0</v>
      </c>
      <c r="L111" s="33">
        <f>7200+K111</f>
        <v>7200</v>
      </c>
      <c r="M111" s="34">
        <f t="shared" si="9"/>
        <v>0</v>
      </c>
      <c r="N111" s="35">
        <f t="shared" si="9"/>
        <v>-7200</v>
      </c>
      <c r="O111" s="64">
        <v>0</v>
      </c>
      <c r="P111" s="65">
        <v>0</v>
      </c>
    </row>
    <row r="112" spans="1:16" ht="35.25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0"/>
        <v>0</v>
      </c>
      <c r="L112" s="33">
        <f>0+K112</f>
        <v>0</v>
      </c>
      <c r="M112" s="34">
        <f t="shared" si="9"/>
        <v>0</v>
      </c>
      <c r="N112" s="35">
        <f t="shared" si="9"/>
        <v>0</v>
      </c>
      <c r="O112" s="64">
        <v>0</v>
      </c>
      <c r="P112" s="65">
        <v>0</v>
      </c>
    </row>
    <row r="113" spans="1:18" ht="26.25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/>
      <c r="H113" s="74"/>
      <c r="I113" s="74"/>
      <c r="J113" s="74"/>
      <c r="K113" s="94">
        <f t="shared" si="10"/>
        <v>0</v>
      </c>
      <c r="L113" s="33">
        <f>41460.6+K113</f>
        <v>41460.6</v>
      </c>
      <c r="M113" s="34">
        <f t="shared" si="9"/>
        <v>0</v>
      </c>
      <c r="N113" s="35">
        <f t="shared" si="9"/>
        <v>-41460.6</v>
      </c>
      <c r="O113" s="64">
        <v>0</v>
      </c>
      <c r="P113" s="65">
        <v>0</v>
      </c>
      <c r="R113" s="95"/>
    </row>
    <row r="114" spans="1:16" ht="60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12000+E114</f>
        <v>15000</v>
      </c>
      <c r="G114" s="74">
        <v>649.68</v>
      </c>
      <c r="H114" s="74"/>
      <c r="I114" s="74"/>
      <c r="J114" s="74"/>
      <c r="K114" s="94">
        <f t="shared" si="10"/>
        <v>649.68</v>
      </c>
      <c r="L114" s="33">
        <f>5071.12+K114</f>
        <v>5720.8</v>
      </c>
      <c r="M114" s="34">
        <f>E114-K114</f>
        <v>2350.32</v>
      </c>
      <c r="N114" s="35">
        <f t="shared" si="9"/>
        <v>9279.2</v>
      </c>
      <c r="O114" s="64">
        <v>0</v>
      </c>
      <c r="P114" s="65">
        <v>0</v>
      </c>
    </row>
    <row r="115" spans="1:16" ht="32.25" customHeight="1" thickBot="1">
      <c r="A115" s="60" t="s">
        <v>171</v>
      </c>
      <c r="B115" s="308" t="s">
        <v>172</v>
      </c>
      <c r="C115" s="309"/>
      <c r="D115" s="310"/>
      <c r="E115" s="31"/>
      <c r="F115" s="31">
        <f>6000+E115</f>
        <v>6000</v>
      </c>
      <c r="G115" s="74"/>
      <c r="H115" s="74"/>
      <c r="I115" s="74"/>
      <c r="J115" s="74"/>
      <c r="K115" s="94">
        <f t="shared" si="10"/>
        <v>0</v>
      </c>
      <c r="L115" s="33">
        <f>0+K115</f>
        <v>0</v>
      </c>
      <c r="M115" s="34">
        <f t="shared" si="9"/>
        <v>0</v>
      </c>
      <c r="N115" s="35">
        <f t="shared" si="9"/>
        <v>6000</v>
      </c>
      <c r="O115" s="64">
        <v>0</v>
      </c>
      <c r="P115" s="65">
        <v>0</v>
      </c>
    </row>
    <row r="116" spans="1:16" ht="35.25" customHeight="1" thickBot="1">
      <c r="A116" s="60" t="s">
        <v>173</v>
      </c>
      <c r="B116" s="308" t="s">
        <v>174</v>
      </c>
      <c r="C116" s="309"/>
      <c r="D116" s="310"/>
      <c r="E116" s="31">
        <v>35000</v>
      </c>
      <c r="F116" s="31">
        <f>0+E116</f>
        <v>35000</v>
      </c>
      <c r="G116" s="74"/>
      <c r="H116" s="74"/>
      <c r="I116" s="74"/>
      <c r="J116" s="74"/>
      <c r="K116" s="94">
        <f t="shared" si="10"/>
        <v>0</v>
      </c>
      <c r="L116" s="33">
        <f>0+K116</f>
        <v>0</v>
      </c>
      <c r="M116" s="34">
        <f t="shared" si="9"/>
        <v>35000</v>
      </c>
      <c r="N116" s="35">
        <f t="shared" si="9"/>
        <v>35000</v>
      </c>
      <c r="O116" s="64">
        <v>0</v>
      </c>
      <c r="P116" s="65">
        <v>0</v>
      </c>
    </row>
    <row r="117" spans="1:16" ht="48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9"/>
        <v>0</v>
      </c>
      <c r="N117" s="35">
        <f t="shared" si="9"/>
        <v>0</v>
      </c>
      <c r="O117" s="64">
        <v>0</v>
      </c>
      <c r="P117" s="65">
        <v>0</v>
      </c>
    </row>
    <row r="118" spans="1:16" ht="37.5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>
        <v>200</v>
      </c>
      <c r="H118" s="74"/>
      <c r="I118" s="74"/>
      <c r="J118" s="74"/>
      <c r="K118" s="94">
        <f>G118</f>
        <v>200</v>
      </c>
      <c r="L118" s="33">
        <f>6326.81+K118</f>
        <v>6526.81</v>
      </c>
      <c r="M118" s="34">
        <f t="shared" si="9"/>
        <v>-200</v>
      </c>
      <c r="N118" s="35">
        <f t="shared" si="9"/>
        <v>-6526.81</v>
      </c>
      <c r="O118" s="64">
        <v>0</v>
      </c>
      <c r="P118" s="65">
        <v>0</v>
      </c>
    </row>
    <row r="119" spans="1:18" ht="33.75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9"/>
        <v>0</v>
      </c>
      <c r="N119" s="35">
        <f t="shared" si="9"/>
        <v>0</v>
      </c>
      <c r="O119" s="64">
        <v>0</v>
      </c>
      <c r="P119" s="65">
        <v>0</v>
      </c>
      <c r="R119" s="96">
        <f>F131+F129+F128+F119+F115+F114+F113+F107+F106</f>
        <v>502200</v>
      </c>
    </row>
    <row r="120" spans="1:16" ht="29.25" customHeight="1" thickBot="1">
      <c r="A120" s="97" t="s">
        <v>180</v>
      </c>
      <c r="B120" s="308" t="s">
        <v>181</v>
      </c>
      <c r="C120" s="309"/>
      <c r="D120" s="310"/>
      <c r="E120" s="31">
        <v>1600</v>
      </c>
      <c r="F120" s="31">
        <f>6200+E120</f>
        <v>7800</v>
      </c>
      <c r="G120" s="74">
        <v>1400</v>
      </c>
      <c r="H120" s="74"/>
      <c r="I120" s="74"/>
      <c r="J120" s="74"/>
      <c r="K120" s="94">
        <f t="shared" si="10"/>
        <v>1400</v>
      </c>
      <c r="L120" s="33">
        <f>6850+K120</f>
        <v>8250</v>
      </c>
      <c r="M120" s="34">
        <f t="shared" si="9"/>
        <v>200</v>
      </c>
      <c r="N120" s="35">
        <f t="shared" si="9"/>
        <v>-450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3.75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60.75" customHeight="1" thickBot="1">
      <c r="A124" s="183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176">
        <v>3</v>
      </c>
      <c r="G125" s="176">
        <v>4</v>
      </c>
      <c r="H125" s="176">
        <v>5</v>
      </c>
      <c r="I125" s="7">
        <v>6</v>
      </c>
      <c r="J125" s="7">
        <v>7</v>
      </c>
      <c r="K125" s="48">
        <v>8</v>
      </c>
      <c r="L125" s="180">
        <v>9</v>
      </c>
      <c r="M125" s="7">
        <v>10</v>
      </c>
      <c r="N125" s="180">
        <v>11</v>
      </c>
      <c r="O125" s="7">
        <v>12</v>
      </c>
      <c r="P125" s="180">
        <v>13</v>
      </c>
    </row>
    <row r="126" spans="1:16" ht="41.25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11" ref="K126:K141">G126</f>
        <v>0</v>
      </c>
      <c r="L126" s="33">
        <f>0+K126</f>
        <v>0</v>
      </c>
      <c r="M126" s="34">
        <f aca="true" t="shared" si="12" ref="M126:N142">E126-K126</f>
        <v>0</v>
      </c>
      <c r="N126" s="35">
        <f t="shared" si="12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325" t="s">
        <v>185</v>
      </c>
      <c r="C127" s="326"/>
      <c r="D127" s="327"/>
      <c r="E127" s="31"/>
      <c r="F127" s="31"/>
      <c r="G127" s="74"/>
      <c r="H127" s="74"/>
      <c r="I127" s="74"/>
      <c r="J127" s="74"/>
      <c r="K127" s="94">
        <f t="shared" si="11"/>
        <v>0</v>
      </c>
      <c r="L127" s="33">
        <f>0+K127</f>
        <v>0</v>
      </c>
      <c r="M127" s="34">
        <f t="shared" si="12"/>
        <v>0</v>
      </c>
      <c r="N127" s="35">
        <f t="shared" si="12"/>
        <v>0</v>
      </c>
      <c r="O127" s="64">
        <v>0</v>
      </c>
      <c r="P127" s="65">
        <v>0</v>
      </c>
    </row>
    <row r="128" spans="1:16" ht="45.75" thickBot="1">
      <c r="A128" s="108" t="s">
        <v>186</v>
      </c>
      <c r="B128" s="325" t="s">
        <v>187</v>
      </c>
      <c r="C128" s="326"/>
      <c r="D128" s="327"/>
      <c r="E128" s="31">
        <v>200000</v>
      </c>
      <c r="F128" s="31">
        <f>0+E128</f>
        <v>200000</v>
      </c>
      <c r="G128" s="74">
        <v>134529.21</v>
      </c>
      <c r="H128" s="74"/>
      <c r="I128" s="74"/>
      <c r="J128" s="74"/>
      <c r="K128" s="94">
        <f>I128+G128</f>
        <v>134529.21</v>
      </c>
      <c r="L128" s="33">
        <f>265956.79+K128</f>
        <v>400486</v>
      </c>
      <c r="M128" s="34">
        <f t="shared" si="12"/>
        <v>65470.79000000001</v>
      </c>
      <c r="N128" s="35">
        <f t="shared" si="12"/>
        <v>-200486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2"/>
        <v>0</v>
      </c>
      <c r="N129" s="35">
        <f t="shared" si="12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325" t="s">
        <v>191</v>
      </c>
      <c r="C130" s="326"/>
      <c r="D130" s="327"/>
      <c r="E130" s="31"/>
      <c r="F130" s="31"/>
      <c r="G130" s="74"/>
      <c r="H130" s="74"/>
      <c r="I130" s="74"/>
      <c r="J130" s="74"/>
      <c r="K130" s="94">
        <f>G130</f>
        <v>0</v>
      </c>
      <c r="L130" s="33">
        <f>3980+K130</f>
        <v>3980</v>
      </c>
      <c r="M130" s="34">
        <f t="shared" si="12"/>
        <v>0</v>
      </c>
      <c r="N130" s="35">
        <f t="shared" si="12"/>
        <v>-3980</v>
      </c>
      <c r="O130" s="64">
        <v>0</v>
      </c>
      <c r="P130" s="65">
        <v>0</v>
      </c>
    </row>
    <row r="131" spans="1:16" ht="45.75" customHeight="1" thickBot="1">
      <c r="A131" s="109" t="s">
        <v>192</v>
      </c>
      <c r="B131" s="460" t="s">
        <v>193</v>
      </c>
      <c r="C131" s="461"/>
      <c r="D131" s="462"/>
      <c r="E131" s="31"/>
      <c r="F131" s="31">
        <f>225000+E131</f>
        <v>225000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2"/>
        <v>0</v>
      </c>
      <c r="N131" s="35">
        <f t="shared" si="12"/>
        <v>225000</v>
      </c>
      <c r="O131" s="64">
        <v>0</v>
      </c>
      <c r="P131" s="65">
        <v>0</v>
      </c>
    </row>
    <row r="132" spans="1:16" ht="24.75" customHeight="1" thickBot="1">
      <c r="A132" s="109" t="s">
        <v>213</v>
      </c>
      <c r="B132" s="460" t="s">
        <v>232</v>
      </c>
      <c r="C132" s="461"/>
      <c r="D132" s="462"/>
      <c r="E132" s="31"/>
      <c r="F132" s="31">
        <f>13650+E132</f>
        <v>13650</v>
      </c>
      <c r="G132" s="74"/>
      <c r="H132" s="74"/>
      <c r="I132" s="74"/>
      <c r="J132" s="74"/>
      <c r="K132" s="94">
        <f>G132+I132</f>
        <v>0</v>
      </c>
      <c r="L132" s="33">
        <f>8063+K132</f>
        <v>8063</v>
      </c>
      <c r="M132" s="34">
        <f>E132-K132</f>
        <v>0</v>
      </c>
      <c r="N132" s="35">
        <f>F132-L132</f>
        <v>5587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6000</v>
      </c>
      <c r="F133" s="73">
        <f>F134</f>
        <v>56000</v>
      </c>
      <c r="G133" s="75">
        <f>G134+G135</f>
        <v>368</v>
      </c>
      <c r="H133" s="74"/>
      <c r="I133" s="74"/>
      <c r="J133" s="74"/>
      <c r="K133" s="93">
        <f t="shared" si="11"/>
        <v>368</v>
      </c>
      <c r="L133" s="55">
        <f>L134+L135</f>
        <v>8246</v>
      </c>
      <c r="M133" s="56">
        <f t="shared" si="12"/>
        <v>5632</v>
      </c>
      <c r="N133" s="70">
        <f t="shared" si="12"/>
        <v>47754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155">
        <v>6000</v>
      </c>
      <c r="F134" s="31">
        <f>50000+E134</f>
        <v>56000</v>
      </c>
      <c r="G134" s="74">
        <v>368</v>
      </c>
      <c r="H134" s="74"/>
      <c r="I134" s="74"/>
      <c r="J134" s="74"/>
      <c r="K134" s="94">
        <f t="shared" si="11"/>
        <v>368</v>
      </c>
      <c r="L134" s="33">
        <f>7878+K134</f>
        <v>8246</v>
      </c>
      <c r="M134" s="34">
        <f t="shared" si="12"/>
        <v>5632</v>
      </c>
      <c r="N134" s="35">
        <f t="shared" si="12"/>
        <v>47754</v>
      </c>
      <c r="O134" s="64">
        <v>0</v>
      </c>
      <c r="P134" s="65">
        <v>0</v>
      </c>
      <c r="Q134" s="1"/>
      <c r="R134" s="1"/>
      <c r="S134" s="1"/>
    </row>
    <row r="135" spans="1:19" ht="32.2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1"/>
        <v>0</v>
      </c>
      <c r="L135" s="33">
        <f>0+K135</f>
        <v>0</v>
      </c>
      <c r="M135" s="34">
        <f t="shared" si="12"/>
        <v>0</v>
      </c>
      <c r="N135" s="35">
        <f t="shared" si="12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11"/>
        <v>0</v>
      </c>
      <c r="L136" s="55">
        <f>0+K136</f>
        <v>0</v>
      </c>
      <c r="M136" s="56">
        <f t="shared" si="12"/>
        <v>0</v>
      </c>
      <c r="N136" s="70">
        <f t="shared" si="12"/>
        <v>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11"/>
        <v>0</v>
      </c>
      <c r="L137" s="33">
        <f>0+K137</f>
        <v>0</v>
      </c>
      <c r="M137" s="34">
        <f t="shared" si="12"/>
        <v>0</v>
      </c>
      <c r="N137" s="35">
        <f t="shared" si="12"/>
        <v>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1"/>
        <v>0</v>
      </c>
      <c r="L138" s="33">
        <f>0+K138</f>
        <v>0</v>
      </c>
      <c r="M138" s="34">
        <f t="shared" si="12"/>
        <v>0</v>
      </c>
      <c r="N138" s="35">
        <f t="shared" si="12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 t="shared" si="11"/>
        <v>0</v>
      </c>
      <c r="L139" s="55">
        <f>L140</f>
        <v>0</v>
      </c>
      <c r="M139" s="56">
        <f t="shared" si="12"/>
        <v>0</v>
      </c>
      <c r="N139" s="70">
        <f t="shared" si="12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11"/>
        <v>0</v>
      </c>
      <c r="L140" s="33">
        <f>0+K140</f>
        <v>0</v>
      </c>
      <c r="M140" s="34">
        <f t="shared" si="12"/>
        <v>0</v>
      </c>
      <c r="N140" s="35">
        <f t="shared" si="12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1"/>
        <v>0</v>
      </c>
      <c r="L141" s="33">
        <f>0+K141</f>
        <v>0</v>
      </c>
      <c r="M141" s="34">
        <f t="shared" si="12"/>
        <v>0</v>
      </c>
      <c r="N141" s="35">
        <f t="shared" si="12"/>
        <v>0</v>
      </c>
      <c r="O141" s="64">
        <v>0</v>
      </c>
      <c r="P141" s="65">
        <v>0</v>
      </c>
      <c r="Q141" s="1"/>
      <c r="R141" s="1"/>
      <c r="S141" s="1"/>
    </row>
    <row r="142" spans="1:19" ht="22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>
        <v>164717.57</v>
      </c>
      <c r="K142" s="93">
        <f>J142</f>
        <v>164717.57</v>
      </c>
      <c r="L142" s="55">
        <f>574970.69+K142</f>
        <v>739688.26</v>
      </c>
      <c r="M142" s="56">
        <f>E142-K142</f>
        <v>-164717.57</v>
      </c>
      <c r="N142" s="70">
        <f t="shared" si="12"/>
        <v>-739688.26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178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212" t="s">
        <v>228</v>
      </c>
      <c r="P143" s="179"/>
      <c r="Q143" s="1"/>
      <c r="R143" s="1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174">
        <v>0</v>
      </c>
      <c r="N144" s="174">
        <v>0</v>
      </c>
      <c r="O144" s="4">
        <v>0</v>
      </c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-23946.829999999805</v>
      </c>
      <c r="H145" s="4">
        <f>G18+H10-H30-H34</f>
        <v>278050</v>
      </c>
      <c r="I145" s="299">
        <f>I10+G19-I104-I66-I97-I76</f>
        <v>10.6</v>
      </c>
      <c r="J145" s="300"/>
      <c r="K145" s="120">
        <f>O10+G22-J54</f>
        <v>-844.66</v>
      </c>
      <c r="L145" s="4">
        <f>L10+G23-J142</f>
        <v>148400.82</v>
      </c>
      <c r="M145" s="174">
        <v>0</v>
      </c>
      <c r="N145" s="4">
        <f>N10+G21-J33-J37-J88</f>
        <v>1.4210854715202004E-13</v>
      </c>
      <c r="O145" s="221">
        <f>G10+G20-H54</f>
        <v>0</v>
      </c>
      <c r="P145" s="4">
        <f>SUM(G145:O145)</f>
        <v>401669.93000000017</v>
      </c>
      <c r="Q145" s="1"/>
      <c r="R145" s="80">
        <f>P5+L16-L29</f>
        <v>401669.93000000156</v>
      </c>
      <c r="S145" s="37"/>
    </row>
    <row r="146" spans="1:19" ht="24.75" customHeight="1" thickBot="1">
      <c r="A146" s="122"/>
      <c r="B146" s="288" t="s">
        <v>234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401669.93000000017</v>
      </c>
      <c r="Q146" s="1"/>
      <c r="R146" s="37">
        <f>P5+L16-L29</f>
        <v>401669.93000000156</v>
      </c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187"/>
      <c r="C150" s="187"/>
      <c r="D150" s="187"/>
      <c r="E150" s="187"/>
      <c r="F150" s="187"/>
      <c r="G150" s="187"/>
      <c r="H150" s="187"/>
      <c r="I150" s="187"/>
      <c r="J150" s="130"/>
      <c r="K150" s="131"/>
      <c r="L150" s="130"/>
      <c r="M150" s="187"/>
      <c r="N150" s="187"/>
      <c r="O150" s="187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1">
    <mergeCell ref="B146:E146"/>
    <mergeCell ref="F146:O146"/>
    <mergeCell ref="B148:E148"/>
    <mergeCell ref="F148:N148"/>
    <mergeCell ref="O148:P148"/>
    <mergeCell ref="B149:E149"/>
    <mergeCell ref="F149:N149"/>
    <mergeCell ref="O149:P149"/>
    <mergeCell ref="B142:D142"/>
    <mergeCell ref="B143:E143"/>
    <mergeCell ref="I143:J143"/>
    <mergeCell ref="B144:E144"/>
    <mergeCell ref="I144:J144"/>
    <mergeCell ref="B145:E145"/>
    <mergeCell ref="I145:J145"/>
    <mergeCell ref="B136:D136"/>
    <mergeCell ref="B137:D137"/>
    <mergeCell ref="B138:D138"/>
    <mergeCell ref="B139:D139"/>
    <mergeCell ref="B140:D140"/>
    <mergeCell ref="B141:D141"/>
    <mergeCell ref="B129:D129"/>
    <mergeCell ref="B130:D130"/>
    <mergeCell ref="B131:D131"/>
    <mergeCell ref="B133:D133"/>
    <mergeCell ref="B134:D134"/>
    <mergeCell ref="B135:D135"/>
    <mergeCell ref="B132:D13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:P1"/>
    <mergeCell ref="B2:P2"/>
    <mergeCell ref="B3:P3"/>
    <mergeCell ref="B4:P4"/>
    <mergeCell ref="B5:E5"/>
    <mergeCell ref="F5:O5"/>
    <mergeCell ref="B9:E9"/>
    <mergeCell ref="I9:J9"/>
    <mergeCell ref="B10:E10"/>
    <mergeCell ref="I10:J10"/>
    <mergeCell ref="B6:E6"/>
    <mergeCell ref="F6:O6"/>
    <mergeCell ref="B7:E7"/>
    <mergeCell ref="F7:P7"/>
    <mergeCell ref="B8:E8"/>
    <mergeCell ref="I8:J8"/>
  </mergeCells>
  <printOptions/>
  <pageMargins left="0" right="0" top="0" bottom="0" header="0.11811023622047245" footer="0.11811023622047245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30">
      <selection activeCell="G116" sqref="G116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28125" style="2" customWidth="1"/>
    <col min="5" max="5" width="12.8515625" style="2" customWidth="1"/>
    <col min="6" max="6" width="14.00390625" style="2" customWidth="1"/>
    <col min="7" max="7" width="12.7109375" style="2" customWidth="1"/>
    <col min="8" max="8" width="13.00390625" style="2" customWidth="1"/>
    <col min="9" max="9" width="7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2.140625" style="2" customWidth="1"/>
    <col min="14" max="14" width="12.7109375" style="2" customWidth="1"/>
    <col min="15" max="15" width="8.28125" style="2" customWidth="1"/>
    <col min="16" max="16" width="9.5742187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 customHeight="1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 customHeight="1">
      <c r="A2" s="1"/>
      <c r="B2" s="458" t="s">
        <v>236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customHeight="1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15.75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15.75" customHeight="1" thickBot="1">
      <c r="A6" s="3"/>
      <c r="B6" s="451" t="s">
        <v>238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226">
        <f>P10</f>
        <v>401669.93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customHeight="1" thickBot="1">
      <c r="A8" s="6"/>
      <c r="B8" s="451" t="s">
        <v>3</v>
      </c>
      <c r="C8" s="288"/>
      <c r="D8" s="288"/>
      <c r="E8" s="289"/>
      <c r="F8" s="236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223" t="s">
        <v>9</v>
      </c>
      <c r="N8" s="229" t="s">
        <v>10</v>
      </c>
      <c r="O8" s="11" t="s">
        <v>11</v>
      </c>
      <c r="P8" s="12"/>
    </row>
    <row r="9" spans="1:16" ht="15.75" customHeight="1" thickBot="1">
      <c r="A9" s="3"/>
      <c r="B9" s="448" t="s">
        <v>12</v>
      </c>
      <c r="C9" s="449"/>
      <c r="D9" s="449"/>
      <c r="E9" s="450"/>
      <c r="F9" s="225">
        <v>0</v>
      </c>
      <c r="G9" s="4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225">
        <v>0</v>
      </c>
      <c r="N9" s="4">
        <v>0</v>
      </c>
      <c r="O9" s="15">
        <v>0</v>
      </c>
      <c r="P9" s="226">
        <v>0</v>
      </c>
    </row>
    <row r="10" spans="1:16" ht="15.75" customHeight="1" thickBot="1">
      <c r="A10" s="3"/>
      <c r="B10" s="448" t="s">
        <v>13</v>
      </c>
      <c r="C10" s="449"/>
      <c r="D10" s="449"/>
      <c r="E10" s="450"/>
      <c r="F10" s="225">
        <v>-23946.83</v>
      </c>
      <c r="G10" s="4">
        <v>0</v>
      </c>
      <c r="H10" s="4">
        <v>278050</v>
      </c>
      <c r="I10" s="299">
        <v>10.6</v>
      </c>
      <c r="J10" s="300"/>
      <c r="K10" s="13">
        <v>0</v>
      </c>
      <c r="L10" s="4">
        <v>148400.82</v>
      </c>
      <c r="M10" s="225">
        <v>0</v>
      </c>
      <c r="N10" s="4">
        <v>0</v>
      </c>
      <c r="O10" s="4">
        <v>-844.66</v>
      </c>
      <c r="P10" s="226">
        <f>SUM(F10:O10)</f>
        <v>401669.93</v>
      </c>
    </row>
    <row r="11" spans="1:16" ht="15.75" thickBot="1">
      <c r="A11" s="233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 customHeight="1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82.5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230">
        <v>3</v>
      </c>
      <c r="G14" s="403">
        <v>4</v>
      </c>
      <c r="H14" s="404"/>
      <c r="I14" s="404"/>
      <c r="J14" s="405"/>
      <c r="K14" s="19">
        <v>5</v>
      </c>
      <c r="L14" s="228">
        <v>6</v>
      </c>
      <c r="M14" s="7">
        <v>7</v>
      </c>
      <c r="N14" s="228">
        <v>8</v>
      </c>
      <c r="O14" s="228">
        <v>9</v>
      </c>
      <c r="P14" s="7">
        <v>10</v>
      </c>
    </row>
    <row r="15" spans="1:16" ht="30" customHeight="1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4.75" customHeight="1" thickBot="1">
      <c r="A16" s="413"/>
      <c r="B16" s="431"/>
      <c r="C16" s="432"/>
      <c r="D16" s="433"/>
      <c r="E16" s="26">
        <f>SUM(E17:E23)</f>
        <v>2598100</v>
      </c>
      <c r="F16" s="27">
        <f>SUM(F17:F23)</f>
        <v>11235189</v>
      </c>
      <c r="G16" s="437">
        <f>G17+G18+G19+G20+G21+G22+G23</f>
        <v>2251258.85</v>
      </c>
      <c r="H16" s="438"/>
      <c r="I16" s="438"/>
      <c r="J16" s="439"/>
      <c r="K16" s="235">
        <f>SUM(K17:K23)</f>
        <v>2251258.85</v>
      </c>
      <c r="L16" s="235">
        <f>SUM(L17:L23)</f>
        <v>9982848.35</v>
      </c>
      <c r="M16" s="235">
        <f>SUM(M17:M23)</f>
        <v>346841.15</v>
      </c>
      <c r="N16" s="235">
        <f>SUM(N17:N23)</f>
        <v>1252340.65</v>
      </c>
      <c r="O16" s="29">
        <v>0</v>
      </c>
      <c r="P16" s="29">
        <v>0</v>
      </c>
    </row>
    <row r="17" spans="1:18" ht="50.25" customHeight="1" thickBot="1">
      <c r="A17" s="30" t="s">
        <v>29</v>
      </c>
      <c r="B17" s="393" t="s">
        <v>30</v>
      </c>
      <c r="C17" s="394"/>
      <c r="D17" s="395"/>
      <c r="E17" s="154">
        <v>1857384</v>
      </c>
      <c r="F17" s="31">
        <f>4727705+E17</f>
        <v>6585089</v>
      </c>
      <c r="G17" s="409">
        <v>981380.6</v>
      </c>
      <c r="H17" s="410"/>
      <c r="I17" s="410"/>
      <c r="J17" s="411"/>
      <c r="K17" s="232">
        <f>G17</f>
        <v>981380.6</v>
      </c>
      <c r="L17" s="33">
        <f>3615078.1+K17</f>
        <v>4596458.7</v>
      </c>
      <c r="M17" s="34">
        <f>E17-K17</f>
        <v>876003.4</v>
      </c>
      <c r="N17" s="35">
        <f>F17-L17</f>
        <v>1988630.2999999998</v>
      </c>
      <c r="O17" s="36">
        <v>0</v>
      </c>
      <c r="P17" s="36">
        <v>0</v>
      </c>
      <c r="Q17" s="1"/>
      <c r="R17" s="37">
        <v>365352.1499999948</v>
      </c>
    </row>
    <row r="18" spans="1:18" ht="38.25" customHeight="1" thickBot="1">
      <c r="A18" s="38" t="s">
        <v>31</v>
      </c>
      <c r="B18" s="422" t="s">
        <v>32</v>
      </c>
      <c r="C18" s="423"/>
      <c r="D18" s="424"/>
      <c r="E18" s="148">
        <v>692516</v>
      </c>
      <c r="F18" s="31">
        <f>2676484+E18</f>
        <v>3369000</v>
      </c>
      <c r="G18" s="409">
        <v>1141616.5</v>
      </c>
      <c r="H18" s="410"/>
      <c r="I18" s="410"/>
      <c r="J18" s="411"/>
      <c r="K18" s="232">
        <f>G18</f>
        <v>1141616.5</v>
      </c>
      <c r="L18" s="33">
        <f>2227653.5+K18</f>
        <v>3369270</v>
      </c>
      <c r="M18" s="34">
        <f>E18-K18</f>
        <v>-449100.5</v>
      </c>
      <c r="N18" s="35">
        <f>F18-L18</f>
        <v>-270</v>
      </c>
      <c r="O18" s="36">
        <v>0</v>
      </c>
      <c r="P18" s="36">
        <v>0</v>
      </c>
      <c r="Q18" s="1"/>
      <c r="R18" s="1"/>
    </row>
    <row r="19" spans="1:18" ht="35.2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232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46.5" customHeight="1" thickBot="1">
      <c r="A20" s="41" t="s">
        <v>35</v>
      </c>
      <c r="B20" s="416" t="s">
        <v>36</v>
      </c>
      <c r="C20" s="417"/>
      <c r="D20" s="418"/>
      <c r="E20" s="42">
        <v>48200</v>
      </c>
      <c r="F20" s="31">
        <f>1232900+E20</f>
        <v>1281100</v>
      </c>
      <c r="G20" s="409">
        <v>116054.75</v>
      </c>
      <c r="H20" s="410"/>
      <c r="I20" s="410"/>
      <c r="J20" s="411"/>
      <c r="K20" s="232">
        <f>G20</f>
        <v>116054.75</v>
      </c>
      <c r="L20" s="33">
        <f>1141371.31+K20</f>
        <v>1257426.06</v>
      </c>
      <c r="M20" s="34">
        <f t="shared" si="0"/>
        <v>-67854.75</v>
      </c>
      <c r="N20" s="35">
        <f t="shared" si="0"/>
        <v>23673.939999999944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232">
        <f>G21</f>
        <v>0</v>
      </c>
      <c r="L21" s="33">
        <f>21850+K21</f>
        <v>21850</v>
      </c>
      <c r="M21" s="34">
        <f t="shared" si="0"/>
        <v>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37.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/>
      <c r="H22" s="410"/>
      <c r="I22" s="410"/>
      <c r="J22" s="411"/>
      <c r="K22" s="232">
        <f>G22</f>
        <v>0</v>
      </c>
      <c r="L22" s="33">
        <f>8145.66+K22</f>
        <v>8145.66</v>
      </c>
      <c r="M22" s="34">
        <f>E22-K22</f>
        <v>0</v>
      </c>
      <c r="N22" s="35">
        <f t="shared" si="0"/>
        <v>-8145.66</v>
      </c>
      <c r="O22" s="36">
        <v>0</v>
      </c>
      <c r="P22" s="36">
        <v>0</v>
      </c>
      <c r="Q22" s="1"/>
      <c r="R22" s="1"/>
    </row>
    <row r="23" spans="1:18" ht="28.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12207</v>
      </c>
      <c r="H23" s="410"/>
      <c r="I23" s="410"/>
      <c r="J23" s="411"/>
      <c r="K23" s="232">
        <f>G23</f>
        <v>12207</v>
      </c>
      <c r="L23" s="33">
        <f>692690.93+K23</f>
        <v>704897.93</v>
      </c>
      <c r="M23" s="34">
        <f t="shared" si="0"/>
        <v>-12207</v>
      </c>
      <c r="N23" s="35">
        <f t="shared" si="0"/>
        <v>-704897.93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12.7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customHeight="1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72.75" customHeight="1" thickBot="1">
      <c r="A27" s="413"/>
      <c r="B27" s="371"/>
      <c r="C27" s="372"/>
      <c r="D27" s="373"/>
      <c r="E27" s="375"/>
      <c r="F27" s="377"/>
      <c r="G27" s="231" t="s">
        <v>45</v>
      </c>
      <c r="H27" s="231" t="s">
        <v>46</v>
      </c>
      <c r="I27" s="231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231">
        <v>3</v>
      </c>
      <c r="G28" s="231">
        <v>4</v>
      </c>
      <c r="H28" s="231">
        <v>5</v>
      </c>
      <c r="I28" s="7">
        <v>6</v>
      </c>
      <c r="J28" s="7">
        <v>7</v>
      </c>
      <c r="K28" s="48">
        <v>8</v>
      </c>
      <c r="L28" s="228">
        <v>9</v>
      </c>
      <c r="M28" s="7">
        <v>10</v>
      </c>
      <c r="N28" s="228">
        <v>11</v>
      </c>
      <c r="O28" s="7">
        <v>12</v>
      </c>
      <c r="P28" s="228">
        <v>13</v>
      </c>
      <c r="Q28" s="1"/>
      <c r="R28" s="1"/>
    </row>
    <row r="29" spans="1:18" ht="15.75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2598100</v>
      </c>
      <c r="F29" s="49">
        <f>F30+F34+F38+F44+F51+F54+F64+F67+F71+F74+F78+F80+F88+F101+F133+F136+F139+F142</f>
        <v>11235189</v>
      </c>
      <c r="G29" s="49">
        <f>G30+G34+G38+G44+G51+G54+G64+G67+G71+G74+G78+G80+G88+G101+G133+G136+G139+G142</f>
        <v>976099.21</v>
      </c>
      <c r="H29" s="49">
        <f>H30+H34+H38+H44+H51+H54+H64+H67+H71+H74+H78+H80+H88+H101+H133+H136+H139+H142</f>
        <v>1238548.3199999998</v>
      </c>
      <c r="I29" s="49">
        <f>I30+I34+I38+I44+I51+I54+I64+I67+I71+I74+I78+I80+I88+I101+I133+I136+I139+I142</f>
        <v>0</v>
      </c>
      <c r="J29" s="49">
        <f>J30+J34+J38+J44+J51+J54+J64+J67+J71+J74+J78+J80+J88+J101+J133+J136+J139+J142</f>
        <v>150663.63</v>
      </c>
      <c r="K29" s="49">
        <f>K30+K34+K38+K44+K51+K54+K64+K67+K71+K74+K78+K80+K88+K101+K133+K136+K139+K142</f>
        <v>2365311.1600000006</v>
      </c>
      <c r="L29" s="49">
        <f>L30+L34+L38+L44+L51+L54+L64+L67+L71+L74+L78+L80+L88+L101+L133+L136+L139+L142</f>
        <v>9941655.15</v>
      </c>
      <c r="M29" s="49">
        <f>M30+M34+M38+M44+M51+M54+M64+M67+M71+M74+M78+M80+M88+M101+M133+M136+M139+M142</f>
        <v>232788.8399999999</v>
      </c>
      <c r="N29" s="49">
        <f>N30+N34+N38+N44+N51+N54+N64+N67+N71+N74+N78+N80+N88+N101+N133+N136+N139+N142</f>
        <v>1293533.8500000006</v>
      </c>
      <c r="O29" s="50">
        <v>0</v>
      </c>
      <c r="P29" s="50">
        <v>0</v>
      </c>
      <c r="Q29" s="1"/>
      <c r="R29" s="37">
        <f>3440426+E29</f>
        <v>6038526</v>
      </c>
    </row>
    <row r="30" spans="1:18" ht="15.75" customHeight="1" thickBot="1">
      <c r="A30" s="51" t="s">
        <v>21</v>
      </c>
      <c r="B30" s="402" t="s">
        <v>49</v>
      </c>
      <c r="C30" s="304"/>
      <c r="D30" s="305"/>
      <c r="E30" s="52">
        <f>SUM(E31:E32)</f>
        <v>1594097</v>
      </c>
      <c r="F30" s="53">
        <f>F31+F32+F33</f>
        <v>5127215</v>
      </c>
      <c r="G30" s="54">
        <f>G31+G32+G33</f>
        <v>608191.78</v>
      </c>
      <c r="H30" s="54">
        <f>H31</f>
        <v>1043836.57</v>
      </c>
      <c r="I30" s="54"/>
      <c r="J30" s="54">
        <f>J33</f>
        <v>0</v>
      </c>
      <c r="K30" s="53">
        <f>G30+H30+J30</f>
        <v>1652028.35</v>
      </c>
      <c r="L30" s="55">
        <f>L31+L32+L33</f>
        <v>4824024.859999999</v>
      </c>
      <c r="M30" s="56">
        <f>E30-K30</f>
        <v>-57931.35000000009</v>
      </c>
      <c r="N30" s="57">
        <f>F30-L30</f>
        <v>303190.1400000006</v>
      </c>
      <c r="O30" s="58">
        <v>0</v>
      </c>
      <c r="P30" s="59">
        <v>0</v>
      </c>
      <c r="Q30" s="37"/>
      <c r="R30" s="37"/>
    </row>
    <row r="31" spans="1:18" ht="20.25" customHeight="1" thickBot="1">
      <c r="A31" s="60" t="s">
        <v>50</v>
      </c>
      <c r="B31" s="388" t="s">
        <v>51</v>
      </c>
      <c r="C31" s="389"/>
      <c r="D31" s="390"/>
      <c r="E31" s="172">
        <v>576137</v>
      </c>
      <c r="F31" s="31">
        <f>2226692+E31</f>
        <v>2802829</v>
      </c>
      <c r="G31" s="62"/>
      <c r="H31" s="62">
        <v>1043836.57</v>
      </c>
      <c r="I31" s="62"/>
      <c r="J31" s="62"/>
      <c r="K31" s="45">
        <f>H31</f>
        <v>1043836.57</v>
      </c>
      <c r="L31" s="33">
        <f>1653896.5+K31</f>
        <v>2697733.07</v>
      </c>
      <c r="M31" s="34">
        <f>E31-K31</f>
        <v>-467699.56999999995</v>
      </c>
      <c r="N31" s="63">
        <f>F31-L31</f>
        <v>105095.93000000017</v>
      </c>
      <c r="O31" s="64">
        <v>0</v>
      </c>
      <c r="P31" s="65">
        <v>0</v>
      </c>
      <c r="Q31" s="37"/>
      <c r="R31" s="37"/>
    </row>
    <row r="32" spans="1:18" ht="15.75" customHeight="1" thickBot="1">
      <c r="A32" s="60" t="s">
        <v>52</v>
      </c>
      <c r="B32" s="301" t="s">
        <v>53</v>
      </c>
      <c r="C32" s="302"/>
      <c r="D32" s="303"/>
      <c r="E32" s="172">
        <v>1017960</v>
      </c>
      <c r="F32" s="31">
        <f>1306426+E32</f>
        <v>2324386</v>
      </c>
      <c r="G32" s="62">
        <v>608191.78</v>
      </c>
      <c r="H32" s="62"/>
      <c r="I32" s="62"/>
      <c r="J32" s="62"/>
      <c r="K32" s="33">
        <f>G32</f>
        <v>608191.78</v>
      </c>
      <c r="L32" s="33">
        <f>1500380.01+K32</f>
        <v>2108571.79</v>
      </c>
      <c r="M32" s="34">
        <f>E32-K32</f>
        <v>409768.22</v>
      </c>
      <c r="N32" s="63">
        <f>F32-L32</f>
        <v>215814.20999999996</v>
      </c>
      <c r="O32" s="64">
        <v>0</v>
      </c>
      <c r="P32" s="65">
        <v>0</v>
      </c>
      <c r="Q32" s="37"/>
      <c r="R32" s="37"/>
    </row>
    <row r="33" spans="1:18" ht="15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>
        <f>J33</f>
        <v>0</v>
      </c>
      <c r="L33" s="33">
        <f>17720+K33</f>
        <v>17720</v>
      </c>
      <c r="M33" s="34">
        <f>E33-K33</f>
        <v>0</v>
      </c>
      <c r="N33" s="35">
        <f>F33-L33</f>
        <v>-17720</v>
      </c>
      <c r="O33" s="64">
        <v>0</v>
      </c>
      <c r="P33" s="65">
        <v>0</v>
      </c>
      <c r="Q33" s="37"/>
      <c r="R33" s="37"/>
    </row>
    <row r="34" spans="1:18" ht="30.75" customHeight="1" thickBot="1">
      <c r="A34" s="69" t="s">
        <v>22</v>
      </c>
      <c r="B34" s="357" t="s">
        <v>56</v>
      </c>
      <c r="C34" s="358"/>
      <c r="D34" s="359"/>
      <c r="E34" s="53">
        <f>SUM(E35:E37)</f>
        <v>322007</v>
      </c>
      <c r="F34" s="53">
        <f>F35+F36+F37</f>
        <v>1035698</v>
      </c>
      <c r="G34" s="54">
        <f>G35+G36+G37</f>
        <v>76746.85</v>
      </c>
      <c r="H34" s="54">
        <f>H35</f>
        <v>78657</v>
      </c>
      <c r="I34" s="54"/>
      <c r="J34" s="54">
        <f>J37</f>
        <v>0</v>
      </c>
      <c r="K34" s="53">
        <f>G34+H34+J34</f>
        <v>155403.85</v>
      </c>
      <c r="L34" s="55">
        <f>L35+L36+L37</f>
        <v>816069.96</v>
      </c>
      <c r="M34" s="56">
        <f aca="true" t="shared" si="1" ref="M34:N37">E34-K34</f>
        <v>166603.15</v>
      </c>
      <c r="N34" s="70">
        <f t="shared" si="1"/>
        <v>219628.04000000004</v>
      </c>
      <c r="O34" s="58">
        <v>0</v>
      </c>
      <c r="P34" s="59">
        <v>0</v>
      </c>
      <c r="Q34" s="1"/>
      <c r="R34" s="1"/>
    </row>
    <row r="35" spans="1:18" ht="15.75" customHeight="1" thickBot="1">
      <c r="A35" s="60" t="s">
        <v>57</v>
      </c>
      <c r="B35" s="388" t="s">
        <v>51</v>
      </c>
      <c r="C35" s="389"/>
      <c r="D35" s="390"/>
      <c r="E35" s="173">
        <v>116379</v>
      </c>
      <c r="F35" s="31">
        <f>449792+E35</f>
        <v>566171</v>
      </c>
      <c r="G35" s="62"/>
      <c r="H35" s="62">
        <v>78657</v>
      </c>
      <c r="I35" s="62"/>
      <c r="J35" s="62"/>
      <c r="K35" s="45">
        <f>H35</f>
        <v>78657</v>
      </c>
      <c r="L35" s="33">
        <f>295707+K35</f>
        <v>374364</v>
      </c>
      <c r="M35" s="34">
        <f t="shared" si="1"/>
        <v>37722</v>
      </c>
      <c r="N35" s="63">
        <f t="shared" si="1"/>
        <v>191807</v>
      </c>
      <c r="O35" s="64">
        <v>0</v>
      </c>
      <c r="P35" s="65">
        <v>0</v>
      </c>
      <c r="Q35" s="1"/>
      <c r="R35" s="71">
        <f>10506304-F29</f>
        <v>-728885</v>
      </c>
    </row>
    <row r="36" spans="1:18" ht="15.75" customHeight="1" thickBot="1">
      <c r="A36" s="60" t="s">
        <v>58</v>
      </c>
      <c r="B36" s="301" t="s">
        <v>53</v>
      </c>
      <c r="C36" s="302"/>
      <c r="D36" s="303"/>
      <c r="E36" s="173">
        <v>205628</v>
      </c>
      <c r="F36" s="31">
        <f>263899+E36</f>
        <v>469527</v>
      </c>
      <c r="G36" s="62">
        <v>76746.85</v>
      </c>
      <c r="H36" s="62"/>
      <c r="I36" s="62"/>
      <c r="J36" s="62"/>
      <c r="K36" s="45">
        <f>G36</f>
        <v>76746.85</v>
      </c>
      <c r="L36" s="33">
        <f>361416.03+K36</f>
        <v>438162.88</v>
      </c>
      <c r="M36" s="220">
        <f>E36-K36</f>
        <v>128881.15</v>
      </c>
      <c r="N36" s="63">
        <f t="shared" si="1"/>
        <v>31364.119999999995</v>
      </c>
      <c r="O36" s="64">
        <v>0</v>
      </c>
      <c r="P36" s="65">
        <v>0</v>
      </c>
      <c r="Q36" s="1"/>
      <c r="R36" s="1"/>
    </row>
    <row r="37" spans="1:18" ht="15.7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>
        <f>J37</f>
        <v>0</v>
      </c>
      <c r="L37" s="33">
        <f>3543.08+K37</f>
        <v>3543.08</v>
      </c>
      <c r="M37" s="220">
        <f>E37-K37</f>
        <v>0</v>
      </c>
      <c r="N37" s="63">
        <f t="shared" si="1"/>
        <v>-3543.08</v>
      </c>
      <c r="O37" s="64">
        <v>0</v>
      </c>
      <c r="P37" s="65">
        <v>0</v>
      </c>
      <c r="Q37" s="1"/>
      <c r="R37" s="1"/>
    </row>
    <row r="38" spans="1:18" ht="31.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72076</v>
      </c>
      <c r="G38" s="54">
        <f>G40</f>
        <v>4944.03</v>
      </c>
      <c r="H38" s="54"/>
      <c r="I38" s="54"/>
      <c r="J38" s="54"/>
      <c r="K38" s="55">
        <f>K39+K40</f>
        <v>4944.03</v>
      </c>
      <c r="L38" s="55">
        <f>L40+L39</f>
        <v>30744.2</v>
      </c>
      <c r="M38" s="56">
        <f>E38-K38</f>
        <v>3901.9700000000003</v>
      </c>
      <c r="N38" s="57">
        <f>F38-L38</f>
        <v>41331.8</v>
      </c>
      <c r="O38" s="58">
        <v>0</v>
      </c>
      <c r="P38" s="59">
        <v>0</v>
      </c>
      <c r="Q38" s="1"/>
      <c r="R38" s="1"/>
    </row>
    <row r="39" spans="1:18" ht="15.7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63230+E40</f>
        <v>72076</v>
      </c>
      <c r="G40" s="62">
        <f>G41+G42</f>
        <v>4944.03</v>
      </c>
      <c r="H40" s="62"/>
      <c r="I40" s="62"/>
      <c r="J40" s="62"/>
      <c r="K40" s="33">
        <f>0+G40</f>
        <v>4944.03</v>
      </c>
      <c r="L40" s="33">
        <f>L41+L42+L43</f>
        <v>30744.2</v>
      </c>
      <c r="M40" s="34">
        <f>E40-K40</f>
        <v>3901.9700000000003</v>
      </c>
      <c r="N40" s="63">
        <f aca="true" t="shared" si="2" ref="M40:N55">F40-L40</f>
        <v>41331.8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14230+E41</f>
        <v>17076</v>
      </c>
      <c r="G41" s="62">
        <v>2706.7</v>
      </c>
      <c r="H41" s="62"/>
      <c r="I41" s="62"/>
      <c r="J41" s="62"/>
      <c r="K41" s="33">
        <f>0+G41</f>
        <v>2706.7</v>
      </c>
      <c r="L41" s="33">
        <f>10824.57+K41</f>
        <v>13531.27</v>
      </c>
      <c r="M41" s="34">
        <f t="shared" si="2"/>
        <v>139.30000000000018</v>
      </c>
      <c r="N41" s="63">
        <f t="shared" si="2"/>
        <v>3544.7299999999996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46000+E42</f>
        <v>52000</v>
      </c>
      <c r="G42" s="62">
        <v>2237.33</v>
      </c>
      <c r="H42" s="62"/>
      <c r="I42" s="62"/>
      <c r="J42" s="62"/>
      <c r="K42" s="33">
        <f>0+G42</f>
        <v>2237.33</v>
      </c>
      <c r="L42" s="33">
        <f>12862.6+K42</f>
        <v>15099.93</v>
      </c>
      <c r="M42" s="34">
        <f t="shared" si="2"/>
        <v>3762.67</v>
      </c>
      <c r="N42" s="63">
        <f t="shared" si="2"/>
        <v>36900.07</v>
      </c>
      <c r="O42" s="64">
        <v>0</v>
      </c>
      <c r="P42" s="65">
        <v>0</v>
      </c>
      <c r="Q42" s="1"/>
      <c r="R42" s="1"/>
    </row>
    <row r="43" spans="1:18" ht="15.75" customHeight="1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30.75" customHeight="1" thickBot="1">
      <c r="A44" s="51" t="s">
        <v>69</v>
      </c>
      <c r="B44" s="357" t="s">
        <v>70</v>
      </c>
      <c r="C44" s="358"/>
      <c r="D44" s="359"/>
      <c r="E44" s="53">
        <f>SUM(E47:E49)</f>
        <v>180000</v>
      </c>
      <c r="F44" s="73">
        <f>F45+F46+F47</f>
        <v>1268000</v>
      </c>
      <c r="G44" s="55">
        <f>G45+G46+G47</f>
        <v>184888</v>
      </c>
      <c r="H44" s="75"/>
      <c r="I44" s="75"/>
      <c r="J44" s="54"/>
      <c r="K44" s="55">
        <f>K45+K46+K47</f>
        <v>184888</v>
      </c>
      <c r="L44" s="55">
        <f>L45+L46+L47</f>
        <v>990125</v>
      </c>
      <c r="M44" s="56">
        <f t="shared" si="2"/>
        <v>-4888</v>
      </c>
      <c r="N44" s="158">
        <f t="shared" si="2"/>
        <v>277875</v>
      </c>
      <c r="O44" s="58">
        <v>0</v>
      </c>
      <c r="P44" s="59">
        <v>0</v>
      </c>
      <c r="Q44" s="1"/>
      <c r="R44" s="1"/>
    </row>
    <row r="45" spans="1:18" ht="28.5" customHeight="1" thickBot="1">
      <c r="A45" s="60" t="s">
        <v>71</v>
      </c>
      <c r="B45" s="301" t="s">
        <v>53</v>
      </c>
      <c r="C45" s="302"/>
      <c r="D45" s="303"/>
      <c r="E45" s="155">
        <f>E48+E49</f>
        <v>180000</v>
      </c>
      <c r="F45" s="31">
        <f>F48+F49+F50</f>
        <v>1268000</v>
      </c>
      <c r="G45" s="33">
        <f>G48+G49</f>
        <v>184888</v>
      </c>
      <c r="H45" s="74"/>
      <c r="I45" s="74"/>
      <c r="J45" s="62"/>
      <c r="K45" s="33">
        <f>0+G45</f>
        <v>184888</v>
      </c>
      <c r="L45" s="33">
        <f>L48+L49</f>
        <v>990125</v>
      </c>
      <c r="M45" s="34">
        <f>E45-K45</f>
        <v>-4888</v>
      </c>
      <c r="N45" s="35">
        <f t="shared" si="2"/>
        <v>277875</v>
      </c>
      <c r="O45" s="64">
        <v>0</v>
      </c>
      <c r="P45" s="65">
        <v>0</v>
      </c>
      <c r="Q45" s="1"/>
      <c r="R45" s="1"/>
    </row>
    <row r="46" spans="1:18" ht="15.7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15.75" customHeight="1" thickBot="1">
      <c r="A48" s="60" t="s">
        <v>74</v>
      </c>
      <c r="B48" s="308" t="s">
        <v>75</v>
      </c>
      <c r="C48" s="309"/>
      <c r="D48" s="310"/>
      <c r="E48" s="252">
        <v>180000</v>
      </c>
      <c r="F48" s="31">
        <f>1068000+E48</f>
        <v>1248000</v>
      </c>
      <c r="G48" s="74">
        <v>184888</v>
      </c>
      <c r="H48" s="74"/>
      <c r="I48" s="74"/>
      <c r="J48" s="62"/>
      <c r="K48" s="33">
        <f>0+G48</f>
        <v>184888</v>
      </c>
      <c r="L48" s="33">
        <f>798406.5+K48</f>
        <v>983294.5</v>
      </c>
      <c r="M48" s="34">
        <f>E48-K48</f>
        <v>-4888</v>
      </c>
      <c r="N48" s="63">
        <f t="shared" si="2"/>
        <v>264705.5</v>
      </c>
      <c r="O48" s="64">
        <v>0</v>
      </c>
      <c r="P48" s="65">
        <v>0</v>
      </c>
      <c r="Q48" s="1"/>
      <c r="R48" s="37"/>
    </row>
    <row r="49" spans="1:18" ht="15.75" customHeight="1" thickBot="1">
      <c r="A49" s="60" t="s">
        <v>76</v>
      </c>
      <c r="B49" s="308" t="s">
        <v>77</v>
      </c>
      <c r="C49" s="309"/>
      <c r="D49" s="310"/>
      <c r="E49" s="156"/>
      <c r="F49" s="31">
        <f>20000+E49</f>
        <v>20000</v>
      </c>
      <c r="G49" s="74"/>
      <c r="H49" s="74"/>
      <c r="I49" s="74"/>
      <c r="J49" s="62"/>
      <c r="K49" s="33">
        <f t="shared" si="3"/>
        <v>0</v>
      </c>
      <c r="L49" s="33">
        <f>6830.5+K49</f>
        <v>6830.5</v>
      </c>
      <c r="M49" s="34">
        <f t="shared" si="2"/>
        <v>0</v>
      </c>
      <c r="N49" s="63">
        <f t="shared" si="2"/>
        <v>13169.5</v>
      </c>
      <c r="O49" s="64">
        <v>0</v>
      </c>
      <c r="P49" s="65">
        <v>0</v>
      </c>
      <c r="Q49" s="1"/>
      <c r="R49" s="1"/>
    </row>
    <row r="50" spans="1:18" ht="15.75" customHeight="1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4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" customHeight="1" thickBot="1">
      <c r="A54" s="51" t="s">
        <v>84</v>
      </c>
      <c r="B54" s="357" t="s">
        <v>85</v>
      </c>
      <c r="C54" s="358"/>
      <c r="D54" s="359"/>
      <c r="E54" s="53">
        <f>SUM(E59:E63)</f>
        <v>48200</v>
      </c>
      <c r="F54" s="73">
        <f>F55+F56+F58</f>
        <v>1281100</v>
      </c>
      <c r="G54" s="55">
        <f>G55+G56+G57+G58</f>
        <v>0</v>
      </c>
      <c r="H54" s="55">
        <f>H55+H56+H57+H58</f>
        <v>116054.75</v>
      </c>
      <c r="I54" s="55"/>
      <c r="J54" s="55">
        <f>J55+J56+J57+J58</f>
        <v>0</v>
      </c>
      <c r="K54" s="55">
        <f>K55+K56+K57</f>
        <v>116054.75</v>
      </c>
      <c r="L54" s="55">
        <f>L55+L56+L57+L58</f>
        <v>1545957.16</v>
      </c>
      <c r="M54" s="56">
        <f t="shared" si="2"/>
        <v>-67854.75</v>
      </c>
      <c r="N54" s="70">
        <f t="shared" si="2"/>
        <v>-264857.1599999999</v>
      </c>
      <c r="O54" s="58">
        <v>0</v>
      </c>
      <c r="P54" s="59">
        <v>0</v>
      </c>
      <c r="Q54" s="1"/>
      <c r="R54" s="37">
        <f>F59+F60+F62+F63-F58</f>
        <v>1281100</v>
      </c>
    </row>
    <row r="55" spans="1:18" ht="29.25" customHeight="1" thickBot="1">
      <c r="A55" s="60" t="s">
        <v>86</v>
      </c>
      <c r="B55" s="301" t="s">
        <v>53</v>
      </c>
      <c r="C55" s="302"/>
      <c r="D55" s="303"/>
      <c r="E55" s="81"/>
      <c r="F55" s="31">
        <f>0+E55</f>
        <v>0</v>
      </c>
      <c r="G55" s="33">
        <f>G60+G62+G63+G59</f>
        <v>0</v>
      </c>
      <c r="H55" s="33"/>
      <c r="I55" s="33"/>
      <c r="J55" s="33"/>
      <c r="K55" s="33">
        <f>0+G55</f>
        <v>0</v>
      </c>
      <c r="L55" s="33">
        <f>274277.94+K55</f>
        <v>274277.94</v>
      </c>
      <c r="M55" s="34">
        <f t="shared" si="2"/>
        <v>0</v>
      </c>
      <c r="N55" s="63">
        <f t="shared" si="2"/>
        <v>-274277.94</v>
      </c>
      <c r="O55" s="64">
        <v>0</v>
      </c>
      <c r="P55" s="65">
        <v>0</v>
      </c>
      <c r="Q55" s="1"/>
      <c r="R55" s="37"/>
    </row>
    <row r="56" spans="1:18" ht="33" customHeight="1" thickBot="1">
      <c r="A56" s="60" t="s">
        <v>87</v>
      </c>
      <c r="B56" s="388" t="s">
        <v>88</v>
      </c>
      <c r="C56" s="389"/>
      <c r="D56" s="390"/>
      <c r="E56" s="81">
        <f>E59+E61+E63+E60+E62</f>
        <v>48200</v>
      </c>
      <c r="F56" s="31">
        <f>1232900+E56</f>
        <v>1281100</v>
      </c>
      <c r="G56" s="33"/>
      <c r="H56" s="33">
        <f>H59+H60+H62+H63</f>
        <v>116054.75</v>
      </c>
      <c r="I56" s="33"/>
      <c r="J56" s="33"/>
      <c r="K56" s="33">
        <f>0+H56</f>
        <v>116054.75</v>
      </c>
      <c r="L56" s="33">
        <f>1143025.97+K56</f>
        <v>1259080.72</v>
      </c>
      <c r="M56" s="34">
        <f aca="true" t="shared" si="5" ref="M56:N71">E56-K56</f>
        <v>-67854.75</v>
      </c>
      <c r="N56" s="63">
        <f t="shared" si="5"/>
        <v>22019.280000000028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4"/>
        <v>0</v>
      </c>
      <c r="M57" s="34">
        <f t="shared" si="5"/>
        <v>0</v>
      </c>
      <c r="N57" s="63">
        <f t="shared" si="5"/>
        <v>0</v>
      </c>
      <c r="O57" s="64">
        <v>0</v>
      </c>
      <c r="P57" s="65">
        <v>0</v>
      </c>
      <c r="Q57" s="1"/>
      <c r="R57" s="37">
        <f>L59+L60+L61+L62+L63</f>
        <v>1360575.73</v>
      </c>
    </row>
    <row r="58" spans="1:18" ht="29.2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 t="shared" si="5"/>
        <v>0</v>
      </c>
      <c r="N58" s="63">
        <f t="shared" si="5"/>
        <v>-12598.5</v>
      </c>
      <c r="O58" s="64">
        <v>0</v>
      </c>
      <c r="P58" s="65">
        <v>0</v>
      </c>
      <c r="Q58" s="1"/>
      <c r="R58" s="37">
        <f>F59+F60+F62+F63</f>
        <v>1281100</v>
      </c>
    </row>
    <row r="59" spans="1:18" ht="32.25" customHeight="1" thickBot="1">
      <c r="A59" s="60" t="s">
        <v>91</v>
      </c>
      <c r="B59" s="325" t="s">
        <v>92</v>
      </c>
      <c r="C59" s="326"/>
      <c r="D59" s="327"/>
      <c r="E59" s="156">
        <v>30000</v>
      </c>
      <c r="F59" s="31">
        <f>313000+E59</f>
        <v>343000</v>
      </c>
      <c r="G59" s="74"/>
      <c r="H59" s="74">
        <v>90453.34</v>
      </c>
      <c r="I59" s="74"/>
      <c r="J59" s="33"/>
      <c r="K59" s="33">
        <f>J59+G59+H59</f>
        <v>90453.34</v>
      </c>
      <c r="L59" s="33">
        <f>273177.46+K59</f>
        <v>363630.80000000005</v>
      </c>
      <c r="M59" s="34">
        <f t="shared" si="5"/>
        <v>-60453.34</v>
      </c>
      <c r="N59" s="35">
        <f t="shared" si="5"/>
        <v>-20630.800000000047</v>
      </c>
      <c r="O59" s="64">
        <v>0</v>
      </c>
      <c r="P59" s="65">
        <v>0</v>
      </c>
      <c r="Q59" s="1"/>
      <c r="R59" s="80"/>
    </row>
    <row r="60" spans="1:18" ht="22.5" customHeight="1" thickBot="1">
      <c r="A60" s="60" t="s">
        <v>93</v>
      </c>
      <c r="B60" s="325" t="s">
        <v>94</v>
      </c>
      <c r="C60" s="326"/>
      <c r="D60" s="326"/>
      <c r="E60" s="152"/>
      <c r="F60" s="31">
        <f>830000+E60</f>
        <v>830000</v>
      </c>
      <c r="G60" s="74"/>
      <c r="H60" s="74">
        <v>13356.95</v>
      </c>
      <c r="I60" s="74"/>
      <c r="J60" s="33"/>
      <c r="K60" s="33">
        <f>J60+G60+H60</f>
        <v>13356.95</v>
      </c>
      <c r="L60" s="33">
        <f>927529.01+K60</f>
        <v>940885.96</v>
      </c>
      <c r="M60" s="34">
        <f t="shared" si="5"/>
        <v>-13356.95</v>
      </c>
      <c r="N60" s="63">
        <f t="shared" si="5"/>
        <v>-110885.95999999996</v>
      </c>
      <c r="O60" s="64">
        <v>0</v>
      </c>
      <c r="P60" s="65">
        <v>0</v>
      </c>
      <c r="Q60" s="1"/>
      <c r="R60" s="37"/>
    </row>
    <row r="61" spans="1:18" ht="15.75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J61+G61+H61</f>
        <v>0</v>
      </c>
      <c r="L61" s="33">
        <f>0+K61</f>
        <v>0</v>
      </c>
      <c r="M61" s="34">
        <f t="shared" si="5"/>
        <v>0</v>
      </c>
      <c r="N61" s="63">
        <f t="shared" si="5"/>
        <v>0</v>
      </c>
      <c r="O61" s="64">
        <v>0</v>
      </c>
      <c r="P61" s="65">
        <v>0</v>
      </c>
      <c r="Q61" s="1"/>
      <c r="R61" s="1"/>
    </row>
    <row r="62" spans="1:18" ht="21.75" customHeight="1" thickBot="1">
      <c r="A62" s="60" t="s">
        <v>96</v>
      </c>
      <c r="B62" s="325" t="s">
        <v>97</v>
      </c>
      <c r="C62" s="326"/>
      <c r="D62" s="327"/>
      <c r="E62" s="152">
        <v>9600</v>
      </c>
      <c r="F62" s="31">
        <f>47400+E62</f>
        <v>57000</v>
      </c>
      <c r="G62" s="83"/>
      <c r="H62" s="74">
        <v>6540.43</v>
      </c>
      <c r="I62" s="74"/>
      <c r="J62" s="74"/>
      <c r="K62" s="33">
        <f>J62+G62+H62</f>
        <v>6540.43</v>
      </c>
      <c r="L62" s="33">
        <f>23403.72+K62</f>
        <v>29944.15</v>
      </c>
      <c r="M62" s="34">
        <f t="shared" si="5"/>
        <v>3059.5699999999997</v>
      </c>
      <c r="N62" s="63">
        <f t="shared" si="5"/>
        <v>27055.85</v>
      </c>
      <c r="O62" s="64">
        <v>0</v>
      </c>
      <c r="P62" s="65">
        <v>0</v>
      </c>
      <c r="Q62" s="1"/>
      <c r="R62" s="1"/>
    </row>
    <row r="63" spans="1:18" ht="29.25" customHeight="1" thickBot="1">
      <c r="A63" s="60" t="s">
        <v>98</v>
      </c>
      <c r="B63" s="325" t="s">
        <v>99</v>
      </c>
      <c r="C63" s="326"/>
      <c r="D63" s="327"/>
      <c r="E63" s="152">
        <v>8600</v>
      </c>
      <c r="F63" s="31">
        <f>42500+E63</f>
        <v>51100</v>
      </c>
      <c r="G63" s="85"/>
      <c r="H63" s="74">
        <v>5704.03</v>
      </c>
      <c r="I63" s="74"/>
      <c r="J63" s="74"/>
      <c r="K63" s="33">
        <f>J63+G63+H63</f>
        <v>5704.03</v>
      </c>
      <c r="L63" s="33">
        <f>20410.79+K63</f>
        <v>26114.82</v>
      </c>
      <c r="M63" s="34">
        <f t="shared" si="5"/>
        <v>2895.9700000000003</v>
      </c>
      <c r="N63" s="63">
        <f t="shared" si="5"/>
        <v>24985.18</v>
      </c>
      <c r="O63" s="64">
        <v>0</v>
      </c>
      <c r="P63" s="65">
        <v>0</v>
      </c>
      <c r="Q63" s="1"/>
      <c r="R63" s="1"/>
    </row>
    <row r="64" spans="1:18" ht="30.75" customHeight="1" thickBot="1">
      <c r="A64" s="86" t="s">
        <v>100</v>
      </c>
      <c r="B64" s="382" t="s">
        <v>101</v>
      </c>
      <c r="C64" s="383"/>
      <c r="D64" s="384"/>
      <c r="E64" s="53">
        <f>E65</f>
        <v>122900</v>
      </c>
      <c r="F64" s="73">
        <f>F65+F66</f>
        <v>522900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6700</v>
      </c>
      <c r="M64" s="56">
        <f t="shared" si="5"/>
        <v>122900</v>
      </c>
      <c r="N64" s="70">
        <f t="shared" si="5"/>
        <v>516200</v>
      </c>
      <c r="O64" s="58">
        <v>0</v>
      </c>
      <c r="P64" s="59">
        <v>0</v>
      </c>
      <c r="Q64" s="1"/>
      <c r="R64" s="1"/>
    </row>
    <row r="65" spans="1:18" ht="21" customHeight="1" thickBot="1">
      <c r="A65" s="60" t="s">
        <v>102</v>
      </c>
      <c r="B65" s="351" t="s">
        <v>53</v>
      </c>
      <c r="C65" s="352"/>
      <c r="D65" s="353"/>
      <c r="E65" s="45">
        <v>122900</v>
      </c>
      <c r="F65" s="31">
        <f>400000+E65</f>
        <v>522900</v>
      </c>
      <c r="G65" s="74"/>
      <c r="H65" s="33"/>
      <c r="I65" s="33"/>
      <c r="J65" s="33"/>
      <c r="K65" s="33">
        <f>0+G65</f>
        <v>0</v>
      </c>
      <c r="L65" s="33">
        <f>6700+K65</f>
        <v>6700</v>
      </c>
      <c r="M65" s="34">
        <f t="shared" si="5"/>
        <v>122900</v>
      </c>
      <c r="N65" s="35">
        <f t="shared" si="5"/>
        <v>516200</v>
      </c>
      <c r="O65" s="64">
        <v>0</v>
      </c>
      <c r="P65" s="65">
        <v>0</v>
      </c>
      <c r="Q65" s="1"/>
      <c r="R65" s="1"/>
    </row>
    <row r="66" spans="1:18" ht="21.75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5"/>
        <v>0</v>
      </c>
      <c r="N66" s="35">
        <f t="shared" si="5"/>
        <v>0</v>
      </c>
      <c r="O66" s="64">
        <v>0</v>
      </c>
      <c r="P66" s="65">
        <v>0</v>
      </c>
      <c r="Q66" s="1"/>
      <c r="R66" s="1"/>
    </row>
    <row r="67" spans="1:18" ht="33.7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316250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L68+L69+L70</f>
        <v>25730</v>
      </c>
      <c r="M67" s="56">
        <f t="shared" si="5"/>
        <v>0</v>
      </c>
      <c r="N67" s="70">
        <f t="shared" si="5"/>
        <v>290520</v>
      </c>
      <c r="O67" s="58">
        <v>0</v>
      </c>
      <c r="P67" s="59">
        <v>0</v>
      </c>
      <c r="Q67" s="1"/>
      <c r="R67" s="37"/>
    </row>
    <row r="68" spans="1:18" ht="34.5" customHeight="1" thickBot="1">
      <c r="A68" s="60" t="s">
        <v>107</v>
      </c>
      <c r="B68" s="319" t="s">
        <v>53</v>
      </c>
      <c r="C68" s="320"/>
      <c r="D68" s="321"/>
      <c r="E68" s="61">
        <v>0</v>
      </c>
      <c r="F68" s="31">
        <f>316250+E68</f>
        <v>316250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0</v>
      </c>
      <c r="N68" s="35">
        <f t="shared" si="5"/>
        <v>315250</v>
      </c>
      <c r="O68" s="64">
        <v>0</v>
      </c>
      <c r="P68" s="65">
        <v>0</v>
      </c>
      <c r="Q68" s="1"/>
      <c r="R68" s="37"/>
    </row>
    <row r="69" spans="1:18" ht="30" customHeight="1" thickBot="1">
      <c r="A69" s="60" t="s">
        <v>108</v>
      </c>
      <c r="B69" s="301" t="s">
        <v>104</v>
      </c>
      <c r="C69" s="302"/>
      <c r="D69" s="303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 t="shared" si="5"/>
        <v>0</v>
      </c>
      <c r="N69" s="35">
        <f t="shared" si="5"/>
        <v>-24730</v>
      </c>
      <c r="O69" s="64">
        <v>0</v>
      </c>
      <c r="P69" s="65">
        <v>0</v>
      </c>
      <c r="Q69" s="1"/>
      <c r="R69" s="37"/>
    </row>
    <row r="70" spans="1:18" ht="27.7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5"/>
        <v>0</v>
      </c>
      <c r="N70" s="35">
        <f t="shared" si="5"/>
        <v>0</v>
      </c>
      <c r="O70" s="64">
        <v>0</v>
      </c>
      <c r="P70" s="65">
        <v>0</v>
      </c>
      <c r="Q70" s="1"/>
      <c r="R70" s="37"/>
    </row>
    <row r="71" spans="1:18" ht="27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18000</v>
      </c>
      <c r="G71" s="75">
        <f>G72+G73</f>
        <v>7124</v>
      </c>
      <c r="H71" s="55"/>
      <c r="I71" s="55"/>
      <c r="J71" s="55"/>
      <c r="K71" s="55">
        <f>G71</f>
        <v>7124</v>
      </c>
      <c r="L71" s="55">
        <f>L72</f>
        <v>47057.34</v>
      </c>
      <c r="M71" s="56">
        <f t="shared" si="5"/>
        <v>-4124</v>
      </c>
      <c r="N71" s="70">
        <f t="shared" si="5"/>
        <v>-29057.339999999997</v>
      </c>
      <c r="O71" s="58">
        <v>0</v>
      </c>
      <c r="P71" s="59">
        <v>0</v>
      </c>
      <c r="Q71" s="1"/>
      <c r="R71" s="1"/>
    </row>
    <row r="72" spans="1:18" ht="29.25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15000+E72</f>
        <v>18000</v>
      </c>
      <c r="G72" s="74">
        <v>7124</v>
      </c>
      <c r="H72" s="33"/>
      <c r="I72" s="33"/>
      <c r="J72" s="33"/>
      <c r="K72" s="33">
        <f>G72</f>
        <v>7124</v>
      </c>
      <c r="L72" s="33">
        <f>39933.34+K72</f>
        <v>47057.34</v>
      </c>
      <c r="M72" s="34">
        <f aca="true" t="shared" si="6" ref="M72:N82">E72-K72</f>
        <v>-4124</v>
      </c>
      <c r="N72" s="35">
        <f t="shared" si="6"/>
        <v>-29057.339999999997</v>
      </c>
      <c r="O72" s="64">
        <v>0</v>
      </c>
      <c r="P72" s="65">
        <v>0</v>
      </c>
      <c r="Q72" s="1"/>
      <c r="R72" s="1"/>
    </row>
    <row r="73" spans="1:18" ht="31.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6"/>
        <v>0</v>
      </c>
      <c r="N73" s="35">
        <f t="shared" si="6"/>
        <v>0</v>
      </c>
      <c r="O73" s="64">
        <v>0</v>
      </c>
      <c r="P73" s="65">
        <v>0</v>
      </c>
      <c r="Q73" s="1"/>
      <c r="R73" s="1"/>
    </row>
    <row r="74" spans="1:18" ht="50.25" customHeight="1" thickBot="1">
      <c r="A74" s="87" t="s">
        <v>112</v>
      </c>
      <c r="B74" s="379" t="s">
        <v>113</v>
      </c>
      <c r="C74" s="380"/>
      <c r="D74" s="381"/>
      <c r="E74" s="53">
        <f>E75</f>
        <v>5000</v>
      </c>
      <c r="F74" s="73">
        <f>F75+F76</f>
        <v>122000</v>
      </c>
      <c r="G74" s="75">
        <f>G75+G76+G77</f>
        <v>3855</v>
      </c>
      <c r="H74" s="55"/>
      <c r="I74" s="55">
        <f>I75+I76</f>
        <v>0</v>
      </c>
      <c r="J74" s="55"/>
      <c r="K74" s="55">
        <f>K75+K76+K77</f>
        <v>3855</v>
      </c>
      <c r="L74" s="55">
        <f>L75+L76+L77</f>
        <v>31197.72</v>
      </c>
      <c r="M74" s="56">
        <f t="shared" si="6"/>
        <v>1145</v>
      </c>
      <c r="N74" s="70">
        <f t="shared" si="6"/>
        <v>90802.28</v>
      </c>
      <c r="O74" s="58">
        <v>0</v>
      </c>
      <c r="P74" s="59">
        <v>0</v>
      </c>
      <c r="Q74" s="1"/>
      <c r="R74" s="1"/>
    </row>
    <row r="75" spans="1:18" ht="30.75" customHeight="1" thickBot="1">
      <c r="A75" s="60" t="s">
        <v>114</v>
      </c>
      <c r="B75" s="301" t="s">
        <v>53</v>
      </c>
      <c r="C75" s="302"/>
      <c r="D75" s="303"/>
      <c r="E75" s="61">
        <v>5000</v>
      </c>
      <c r="F75" s="31">
        <f>117000+E75</f>
        <v>122000</v>
      </c>
      <c r="G75" s="74">
        <v>3855</v>
      </c>
      <c r="H75" s="33"/>
      <c r="I75" s="33"/>
      <c r="J75" s="33"/>
      <c r="K75" s="33">
        <f>G75</f>
        <v>3855</v>
      </c>
      <c r="L75" s="33">
        <f>24342.72+K75</f>
        <v>28197.72</v>
      </c>
      <c r="M75" s="34">
        <f>E75-K75</f>
        <v>1145</v>
      </c>
      <c r="N75" s="35">
        <f t="shared" si="6"/>
        <v>93802.28</v>
      </c>
      <c r="O75" s="64">
        <v>0</v>
      </c>
      <c r="P75" s="65">
        <v>0</v>
      </c>
      <c r="Q75" s="1"/>
      <c r="R75" s="1"/>
    </row>
    <row r="76" spans="1:18" ht="27" customHeight="1" thickBot="1">
      <c r="A76" s="60" t="s">
        <v>115</v>
      </c>
      <c r="B76" s="388" t="s">
        <v>104</v>
      </c>
      <c r="C76" s="389"/>
      <c r="D76" s="390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6"/>
        <v>0</v>
      </c>
      <c r="N76" s="35">
        <f t="shared" si="6"/>
        <v>-3000</v>
      </c>
      <c r="O76" s="64">
        <v>0</v>
      </c>
      <c r="P76" s="65">
        <v>0</v>
      </c>
      <c r="Q76" s="1"/>
      <c r="R76" s="1"/>
    </row>
    <row r="77" spans="1:18" ht="31.5" customHeight="1" thickBot="1">
      <c r="A77" s="60" t="s">
        <v>116</v>
      </c>
      <c r="B77" s="301" t="s">
        <v>55</v>
      </c>
      <c r="C77" s="302"/>
      <c r="D77" s="303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6"/>
        <v>0</v>
      </c>
      <c r="N77" s="35">
        <f t="shared" si="6"/>
        <v>0</v>
      </c>
      <c r="O77" s="64">
        <v>0</v>
      </c>
      <c r="P77" s="65">
        <v>0</v>
      </c>
      <c r="Q77" s="1"/>
      <c r="R77" s="1"/>
    </row>
    <row r="78" spans="1:18" ht="42.7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2500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6"/>
        <v>0</v>
      </c>
      <c r="N78" s="70">
        <f t="shared" si="6"/>
        <v>2500</v>
      </c>
      <c r="O78" s="58">
        <v>0</v>
      </c>
      <c r="P78" s="59">
        <v>0</v>
      </c>
      <c r="Q78" s="1"/>
      <c r="R78" s="1"/>
    </row>
    <row r="79" spans="1:18" ht="27.75" customHeight="1" thickBot="1">
      <c r="A79" s="60" t="s">
        <v>119</v>
      </c>
      <c r="B79" s="301" t="s">
        <v>53</v>
      </c>
      <c r="C79" s="302"/>
      <c r="D79" s="303"/>
      <c r="E79" s="81">
        <v>0</v>
      </c>
      <c r="F79" s="31">
        <f>2500+E79</f>
        <v>2500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6"/>
        <v>2500</v>
      </c>
      <c r="O79" s="64">
        <v>0</v>
      </c>
      <c r="P79" s="65">
        <v>0</v>
      </c>
      <c r="Q79" s="1"/>
      <c r="R79" s="1"/>
    </row>
    <row r="80" spans="1:18" ht="19.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L81+L82</f>
        <v>15152.88</v>
      </c>
      <c r="M80" s="56">
        <f t="shared" si="6"/>
        <v>0</v>
      </c>
      <c r="N80" s="70">
        <f t="shared" si="6"/>
        <v>3347.120000000001</v>
      </c>
      <c r="O80" s="58">
        <v>0</v>
      </c>
      <c r="P80" s="59">
        <v>0</v>
      </c>
      <c r="Q80" s="1"/>
      <c r="R80" s="1"/>
    </row>
    <row r="81" spans="1:18" ht="33" customHeight="1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15152.88+K81</f>
        <v>15152.88</v>
      </c>
      <c r="M81" s="34">
        <f t="shared" si="6"/>
        <v>0</v>
      </c>
      <c r="N81" s="35">
        <f t="shared" si="6"/>
        <v>3347.120000000001</v>
      </c>
      <c r="O81" s="64">
        <v>0</v>
      </c>
      <c r="P81" s="65">
        <v>0</v>
      </c>
      <c r="Q81" s="1"/>
      <c r="R81" s="1"/>
    </row>
    <row r="82" spans="1:18" ht="25.5" customHeight="1" thickBot="1">
      <c r="A82" s="60" t="s">
        <v>123</v>
      </c>
      <c r="B82" s="388" t="s">
        <v>55</v>
      </c>
      <c r="C82" s="389"/>
      <c r="D82" s="3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6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6.75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customHeight="1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75.75" customHeight="1" thickBot="1">
      <c r="A86" s="361"/>
      <c r="B86" s="371"/>
      <c r="C86" s="372"/>
      <c r="D86" s="373"/>
      <c r="E86" s="375"/>
      <c r="F86" s="377"/>
      <c r="G86" s="231" t="s">
        <v>45</v>
      </c>
      <c r="H86" s="231" t="s">
        <v>46</v>
      </c>
      <c r="I86" s="231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.75" thickBot="1">
      <c r="A87" s="60"/>
      <c r="B87" s="316">
        <v>1</v>
      </c>
      <c r="C87" s="317"/>
      <c r="D87" s="318"/>
      <c r="E87" s="17" t="s">
        <v>22</v>
      </c>
      <c r="F87" s="231">
        <v>3</v>
      </c>
      <c r="G87" s="231">
        <v>4</v>
      </c>
      <c r="H87" s="231">
        <v>5</v>
      </c>
      <c r="I87" s="7">
        <v>6</v>
      </c>
      <c r="J87" s="7">
        <v>7</v>
      </c>
      <c r="K87" s="48">
        <v>8</v>
      </c>
      <c r="L87" s="228">
        <v>9</v>
      </c>
      <c r="M87" s="7">
        <v>10</v>
      </c>
      <c r="N87" s="228">
        <v>11</v>
      </c>
      <c r="O87" s="7">
        <v>12</v>
      </c>
      <c r="P87" s="228">
        <v>13</v>
      </c>
      <c r="Q87" s="1"/>
      <c r="R87" s="1"/>
    </row>
    <row r="88" spans="1:18" ht="42.75" customHeight="1" thickBot="1">
      <c r="A88" s="51" t="s">
        <v>125</v>
      </c>
      <c r="B88" s="357" t="s">
        <v>126</v>
      </c>
      <c r="C88" s="358"/>
      <c r="D88" s="359"/>
      <c r="E88" s="53">
        <f>E89</f>
        <v>29450</v>
      </c>
      <c r="F88" s="73">
        <f>F89+F90+F91+F92</f>
        <v>190700</v>
      </c>
      <c r="G88" s="53">
        <f>G89+G90+G91+G92</f>
        <v>24431.329999999998</v>
      </c>
      <c r="H88" s="55"/>
      <c r="I88" s="55">
        <f>I89+I90+I91</f>
        <v>0</v>
      </c>
      <c r="J88" s="55">
        <f>J89+J90+J91+J92</f>
        <v>0</v>
      </c>
      <c r="K88" s="93">
        <f>K89+K90+K91+K92</f>
        <v>24431.329999999998</v>
      </c>
      <c r="L88" s="55">
        <f>L89+L90+L91+L92</f>
        <v>144591.91000000003</v>
      </c>
      <c r="M88" s="56">
        <f aca="true" t="shared" si="7" ref="M88:N103">E88-K88</f>
        <v>5018.670000000002</v>
      </c>
      <c r="N88" s="70">
        <f t="shared" si="7"/>
        <v>46108.08999999997</v>
      </c>
      <c r="O88" s="58">
        <v>0</v>
      </c>
      <c r="P88" s="59">
        <v>0</v>
      </c>
      <c r="Q88" s="37"/>
      <c r="R88" s="1"/>
    </row>
    <row r="89" spans="1:18" ht="27" customHeight="1" thickBot="1">
      <c r="A89" s="60" t="s">
        <v>127</v>
      </c>
      <c r="B89" s="301" t="s">
        <v>53</v>
      </c>
      <c r="C89" s="302"/>
      <c r="D89" s="303"/>
      <c r="E89" s="61">
        <f>E93+E94+E96+E97+E98+E100+E99+E95</f>
        <v>29450</v>
      </c>
      <c r="F89" s="31">
        <f>161250+E89</f>
        <v>190700</v>
      </c>
      <c r="G89" s="45">
        <f>G93+G94+G96+G97+G98+G99+G100</f>
        <v>24431.329999999998</v>
      </c>
      <c r="H89" s="33"/>
      <c r="I89" s="33"/>
      <c r="J89" s="33"/>
      <c r="K89" s="94">
        <f>G89</f>
        <v>24431.329999999998</v>
      </c>
      <c r="L89" s="33">
        <f>L93+L94+L96+L97+L98+L99+L100+L95-59.4-95.55</f>
        <v>144351.87000000002</v>
      </c>
      <c r="M89" s="34">
        <f t="shared" si="7"/>
        <v>5018.670000000002</v>
      </c>
      <c r="N89" s="35">
        <f t="shared" si="7"/>
        <v>46348.129999999976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301" t="s">
        <v>51</v>
      </c>
      <c r="C90" s="302"/>
      <c r="D90" s="303"/>
      <c r="E90" s="61"/>
      <c r="F90" s="31"/>
      <c r="G90" s="45"/>
      <c r="H90" s="33"/>
      <c r="I90" s="33"/>
      <c r="J90" s="33"/>
      <c r="K90" s="94">
        <f aca="true" t="shared" si="8" ref="K90:K99">G90</f>
        <v>0</v>
      </c>
      <c r="L90" s="33"/>
      <c r="M90" s="34">
        <f t="shared" si="7"/>
        <v>0</v>
      </c>
      <c r="N90" s="35">
        <f t="shared" si="7"/>
        <v>0</v>
      </c>
      <c r="O90" s="64">
        <v>0</v>
      </c>
      <c r="P90" s="65">
        <v>0</v>
      </c>
      <c r="Q90" s="37"/>
      <c r="R90" s="1"/>
    </row>
    <row r="91" spans="1:18" ht="27.75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59.4+K91</f>
        <v>59.4</v>
      </c>
      <c r="M91" s="34">
        <f t="shared" si="7"/>
        <v>0</v>
      </c>
      <c r="N91" s="35">
        <f t="shared" si="7"/>
        <v>-59.4</v>
      </c>
      <c r="O91" s="64">
        <v>0</v>
      </c>
      <c r="P91" s="65">
        <v>0</v>
      </c>
      <c r="Q91" s="37"/>
      <c r="R91" s="1"/>
    </row>
    <row r="92" spans="1:18" ht="15.7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0</v>
      </c>
      <c r="K92" s="94">
        <f>J92</f>
        <v>0</v>
      </c>
      <c r="L92" s="33">
        <f>180.64+K92</f>
        <v>180.64</v>
      </c>
      <c r="M92" s="34">
        <f t="shared" si="7"/>
        <v>0</v>
      </c>
      <c r="N92" s="35">
        <f t="shared" si="7"/>
        <v>-180.64</v>
      </c>
      <c r="O92" s="64">
        <v>0</v>
      </c>
      <c r="P92" s="65">
        <v>0</v>
      </c>
      <c r="Q92" s="37"/>
      <c r="R92" s="80">
        <f>L93+L94+L95+L96+L97+L98+L99+L100</f>
        <v>144506.82</v>
      </c>
    </row>
    <row r="93" spans="1:18" ht="15.75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15750+E93</f>
        <v>18900</v>
      </c>
      <c r="G93" s="45">
        <v>3000</v>
      </c>
      <c r="H93" s="74"/>
      <c r="I93" s="74"/>
      <c r="J93" s="74"/>
      <c r="K93" s="94">
        <f t="shared" si="8"/>
        <v>3000</v>
      </c>
      <c r="L93" s="33">
        <f>15000+K93</f>
        <v>18000</v>
      </c>
      <c r="M93" s="34">
        <f t="shared" si="7"/>
        <v>150</v>
      </c>
      <c r="N93" s="35">
        <f t="shared" si="7"/>
        <v>900</v>
      </c>
      <c r="O93" s="64">
        <v>0</v>
      </c>
      <c r="P93" s="65">
        <v>0</v>
      </c>
      <c r="Q93" s="1"/>
      <c r="R93" s="37">
        <f>L89+L90+L91+L92</f>
        <v>144591.91000000003</v>
      </c>
    </row>
    <row r="94" spans="1:18" ht="26.25" customHeight="1" thickBot="1">
      <c r="A94" s="60" t="s">
        <v>133</v>
      </c>
      <c r="B94" s="322" t="s">
        <v>134</v>
      </c>
      <c r="C94" s="323"/>
      <c r="D94" s="324"/>
      <c r="E94" s="152">
        <v>4800</v>
      </c>
      <c r="F94" s="31">
        <f>24000+E94</f>
        <v>28800</v>
      </c>
      <c r="G94" s="45"/>
      <c r="H94" s="74"/>
      <c r="I94" s="74"/>
      <c r="J94" s="74"/>
      <c r="K94" s="94">
        <f>G94</f>
        <v>0</v>
      </c>
      <c r="L94" s="33">
        <f>9450+K94</f>
        <v>9450</v>
      </c>
      <c r="M94" s="34">
        <f t="shared" si="7"/>
        <v>4800</v>
      </c>
      <c r="N94" s="35">
        <f t="shared" si="7"/>
        <v>19350</v>
      </c>
      <c r="O94" s="64">
        <v>0</v>
      </c>
      <c r="P94" s="65">
        <v>0</v>
      </c>
      <c r="Q94" s="1"/>
      <c r="R94" s="1"/>
    </row>
    <row r="95" spans="1:18" ht="27.75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 t="shared" si="8"/>
        <v>0</v>
      </c>
      <c r="L95" s="33">
        <f>0+K95</f>
        <v>0</v>
      </c>
      <c r="M95" s="34">
        <f t="shared" si="7"/>
        <v>0</v>
      </c>
      <c r="N95" s="35">
        <f t="shared" si="7"/>
        <v>0</v>
      </c>
      <c r="O95" s="64">
        <v>0</v>
      </c>
      <c r="P95" s="65">
        <v>0</v>
      </c>
      <c r="Q95" s="1"/>
      <c r="R95" s="1"/>
    </row>
    <row r="96" spans="1:18" ht="28.5" customHeight="1" thickBot="1">
      <c r="A96" s="60" t="s">
        <v>137</v>
      </c>
      <c r="B96" s="308" t="s">
        <v>138</v>
      </c>
      <c r="C96" s="309"/>
      <c r="D96" s="310"/>
      <c r="E96" s="152">
        <v>1300</v>
      </c>
      <c r="F96" s="31">
        <f>6500+E96</f>
        <v>7800</v>
      </c>
      <c r="G96" s="45">
        <v>1615</v>
      </c>
      <c r="H96" s="74"/>
      <c r="I96" s="74"/>
      <c r="J96" s="74"/>
      <c r="K96" s="94">
        <f t="shared" si="8"/>
        <v>1615</v>
      </c>
      <c r="L96" s="33">
        <f>14055+K96</f>
        <v>15670</v>
      </c>
      <c r="M96" s="34">
        <f t="shared" si="7"/>
        <v>-315</v>
      </c>
      <c r="N96" s="35">
        <f t="shared" si="7"/>
        <v>-7870</v>
      </c>
      <c r="O96" s="64">
        <v>0</v>
      </c>
      <c r="P96" s="65">
        <v>0</v>
      </c>
      <c r="Q96" s="1"/>
      <c r="R96" s="1"/>
    </row>
    <row r="97" spans="1:18" ht="21.75" customHeight="1" thickBot="1">
      <c r="A97" s="60" t="s">
        <v>139</v>
      </c>
      <c r="B97" s="308" t="s">
        <v>140</v>
      </c>
      <c r="C97" s="309"/>
      <c r="D97" s="310"/>
      <c r="E97" s="152">
        <v>7000</v>
      </c>
      <c r="F97" s="31">
        <f>35000+E97</f>
        <v>42000</v>
      </c>
      <c r="G97" s="45">
        <v>10207.6</v>
      </c>
      <c r="H97" s="74"/>
      <c r="I97" s="74"/>
      <c r="J97" s="74"/>
      <c r="K97" s="94">
        <f>G97+I97</f>
        <v>10207.6</v>
      </c>
      <c r="L97" s="33">
        <f>27839.57+K97</f>
        <v>38047.17</v>
      </c>
      <c r="M97" s="34">
        <f t="shared" si="7"/>
        <v>-3207.6000000000004</v>
      </c>
      <c r="N97" s="35">
        <f t="shared" si="7"/>
        <v>3952.8300000000017</v>
      </c>
      <c r="O97" s="64">
        <v>0</v>
      </c>
      <c r="P97" s="65">
        <v>0</v>
      </c>
      <c r="Q97" s="1"/>
      <c r="R97" s="71">
        <f>F93+F94+F95+F96+F97+F98+F99+F100</f>
        <v>190700</v>
      </c>
    </row>
    <row r="98" spans="1:16" ht="19.5" customHeight="1" thickBot="1">
      <c r="A98" s="60" t="s">
        <v>141</v>
      </c>
      <c r="B98" s="463" t="s">
        <v>142</v>
      </c>
      <c r="C98" s="464"/>
      <c r="D98" s="465"/>
      <c r="E98" s="152">
        <v>3300</v>
      </c>
      <c r="F98" s="31">
        <f>16500+E98</f>
        <v>19800</v>
      </c>
      <c r="G98" s="45">
        <v>3250</v>
      </c>
      <c r="H98" s="74"/>
      <c r="I98" s="74"/>
      <c r="J98" s="74"/>
      <c r="K98" s="94">
        <f t="shared" si="8"/>
        <v>3250</v>
      </c>
      <c r="L98" s="33">
        <f>6750+K98</f>
        <v>10000</v>
      </c>
      <c r="M98" s="34">
        <f t="shared" si="7"/>
        <v>50</v>
      </c>
      <c r="N98" s="35">
        <f t="shared" si="7"/>
        <v>9800</v>
      </c>
      <c r="O98" s="64">
        <v>0</v>
      </c>
      <c r="P98" s="65">
        <v>0</v>
      </c>
    </row>
    <row r="99" spans="1:16" ht="30.75" customHeight="1" thickBot="1">
      <c r="A99" s="60" t="s">
        <v>143</v>
      </c>
      <c r="B99" s="308" t="s">
        <v>144</v>
      </c>
      <c r="C99" s="309"/>
      <c r="D99" s="310"/>
      <c r="E99" s="152"/>
      <c r="F99" s="31">
        <f>14000+E99</f>
        <v>14000</v>
      </c>
      <c r="G99" s="45"/>
      <c r="H99" s="74"/>
      <c r="I99" s="74"/>
      <c r="J99" s="74"/>
      <c r="K99" s="94">
        <f t="shared" si="8"/>
        <v>0</v>
      </c>
      <c r="L99" s="33">
        <f>21546+K99</f>
        <v>21546</v>
      </c>
      <c r="M99" s="34">
        <f t="shared" si="7"/>
        <v>0</v>
      </c>
      <c r="N99" s="35">
        <f t="shared" si="7"/>
        <v>-7546</v>
      </c>
      <c r="O99" s="64">
        <v>0</v>
      </c>
      <c r="P99" s="65">
        <v>0</v>
      </c>
    </row>
    <row r="100" spans="1:16" ht="15.75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>49500+E100</f>
        <v>59400</v>
      </c>
      <c r="G100" s="45">
        <v>6358.73</v>
      </c>
      <c r="H100" s="74"/>
      <c r="I100" s="74"/>
      <c r="J100" s="74"/>
      <c r="K100" s="94">
        <f>G100</f>
        <v>6358.73</v>
      </c>
      <c r="L100" s="33">
        <f>25434.92+K100</f>
        <v>31793.649999999998</v>
      </c>
      <c r="M100" s="34">
        <f t="shared" si="7"/>
        <v>3541.2700000000004</v>
      </c>
      <c r="N100" s="35">
        <f t="shared" si="7"/>
        <v>27606.350000000002</v>
      </c>
      <c r="O100" s="64">
        <v>0</v>
      </c>
      <c r="P100" s="65">
        <v>0</v>
      </c>
    </row>
    <row r="101" spans="1:18" ht="28.5" customHeight="1" thickBot="1">
      <c r="A101" s="86" t="s">
        <v>147</v>
      </c>
      <c r="B101" s="354" t="s">
        <v>148</v>
      </c>
      <c r="C101" s="306"/>
      <c r="D101" s="307"/>
      <c r="E101" s="73">
        <f>E102+E103</f>
        <v>284600</v>
      </c>
      <c r="F101" s="73">
        <f>F102+F103+F104+F105</f>
        <v>1204250</v>
      </c>
      <c r="G101" s="73">
        <f>G102+G104+G105</f>
        <v>27168.22</v>
      </c>
      <c r="H101" s="75">
        <f>H103</f>
        <v>0</v>
      </c>
      <c r="I101" s="55">
        <f>I104</f>
        <v>0</v>
      </c>
      <c r="J101" s="55"/>
      <c r="K101" s="73">
        <f>G101+H101+I101+J101</f>
        <v>27168.22</v>
      </c>
      <c r="L101" s="55">
        <f>L102+L103+L104+L105</f>
        <v>526956.23</v>
      </c>
      <c r="M101" s="56">
        <f t="shared" si="7"/>
        <v>257431.78</v>
      </c>
      <c r="N101" s="70">
        <f t="shared" si="7"/>
        <v>677293.77</v>
      </c>
      <c r="O101" s="58">
        <v>0</v>
      </c>
      <c r="P101" s="59">
        <v>0</v>
      </c>
      <c r="R101" s="95">
        <f>L102+L104-L101</f>
        <v>-399.5200000000186</v>
      </c>
    </row>
    <row r="102" spans="1:18" ht="27.7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E106+E107+E114+E119+E131+E113+E128+E115+E120+E132+E116</f>
        <v>284600</v>
      </c>
      <c r="F102" s="31">
        <f>919650+E102</f>
        <v>1204250</v>
      </c>
      <c r="G102" s="74">
        <f>G113+G114+G118+G120+G128+G119+G130+G131+G132</f>
        <v>27168.22</v>
      </c>
      <c r="H102" s="74"/>
      <c r="I102" s="33"/>
      <c r="J102" s="33"/>
      <c r="K102" s="94">
        <f>G102</f>
        <v>27168.22</v>
      </c>
      <c r="L102" s="33">
        <f>499388.49+K102</f>
        <v>526556.71</v>
      </c>
      <c r="M102" s="34">
        <f t="shared" si="7"/>
        <v>257431.78</v>
      </c>
      <c r="N102" s="35">
        <f t="shared" si="7"/>
        <v>677693.29</v>
      </c>
      <c r="O102" s="64">
        <v>0</v>
      </c>
      <c r="P102" s="65">
        <v>0</v>
      </c>
      <c r="R102" s="95"/>
    </row>
    <row r="103" spans="1:18" ht="19.5" customHeight="1" thickBot="1">
      <c r="A103" s="60" t="s">
        <v>150</v>
      </c>
      <c r="B103" s="301" t="s">
        <v>51</v>
      </c>
      <c r="C103" s="302"/>
      <c r="D103" s="30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7"/>
        <v>0</v>
      </c>
      <c r="N103" s="35">
        <f t="shared" si="7"/>
        <v>0</v>
      </c>
      <c r="O103" s="64">
        <v>0</v>
      </c>
      <c r="P103" s="65">
        <v>0</v>
      </c>
      <c r="R103" s="96"/>
    </row>
    <row r="104" spans="1:16" ht="27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9" ref="M104:N120">E104-K104</f>
        <v>0</v>
      </c>
      <c r="N104" s="35">
        <f t="shared" si="9"/>
        <v>0</v>
      </c>
      <c r="O104" s="64">
        <v>0</v>
      </c>
      <c r="P104" s="65">
        <v>0</v>
      </c>
    </row>
    <row r="105" spans="1:18" ht="18" customHeight="1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/>
      <c r="K105" s="94">
        <f>G105</f>
        <v>0</v>
      </c>
      <c r="L105" s="33">
        <f>399.52+K105</f>
        <v>399.52</v>
      </c>
      <c r="M105" s="34">
        <f t="shared" si="9"/>
        <v>0</v>
      </c>
      <c r="N105" s="35">
        <f t="shared" si="9"/>
        <v>-399.52</v>
      </c>
      <c r="O105" s="64">
        <v>0</v>
      </c>
      <c r="P105" s="65">
        <v>0</v>
      </c>
      <c r="R105" s="95">
        <f>L106+L113+L114+L118+L119+L131+L111+L120+L128+L130+L132</f>
        <v>526955.4299999999</v>
      </c>
    </row>
    <row r="106" spans="1:16" ht="32.25" customHeight="1" thickBot="1">
      <c r="A106" s="60" t="s">
        <v>153</v>
      </c>
      <c r="B106" s="311" t="s">
        <v>154</v>
      </c>
      <c r="C106" s="312"/>
      <c r="D106" s="313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0" ref="K106:K120">G106</f>
        <v>0</v>
      </c>
      <c r="L106" s="33">
        <f>18100+K106</f>
        <v>18100</v>
      </c>
      <c r="M106" s="34">
        <f t="shared" si="9"/>
        <v>0</v>
      </c>
      <c r="N106" s="35">
        <f t="shared" si="9"/>
        <v>21900</v>
      </c>
      <c r="O106" s="64">
        <v>0</v>
      </c>
      <c r="P106" s="65">
        <v>0</v>
      </c>
    </row>
    <row r="107" spans="1:16" ht="29.25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10"/>
        <v>0</v>
      </c>
      <c r="L107" s="33">
        <f>0+K107</f>
        <v>0</v>
      </c>
      <c r="M107" s="34">
        <f t="shared" si="9"/>
        <v>0</v>
      </c>
      <c r="N107" s="35">
        <f t="shared" si="9"/>
        <v>16200</v>
      </c>
      <c r="O107" s="64">
        <v>0</v>
      </c>
      <c r="P107" s="65">
        <v>0</v>
      </c>
    </row>
    <row r="108" spans="1:16" ht="27" customHeight="1" thickBot="1">
      <c r="A108" s="60" t="s">
        <v>157</v>
      </c>
      <c r="B108" s="348" t="s">
        <v>158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10"/>
        <v>0</v>
      </c>
      <c r="L108" s="33">
        <f>0+K108</f>
        <v>0</v>
      </c>
      <c r="M108" s="34">
        <f t="shared" si="9"/>
        <v>0</v>
      </c>
      <c r="N108" s="35">
        <f t="shared" si="9"/>
        <v>0</v>
      </c>
      <c r="O108" s="64">
        <v>0</v>
      </c>
      <c r="P108" s="65">
        <v>0</v>
      </c>
    </row>
    <row r="109" spans="1:16" ht="21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0"/>
        <v>0</v>
      </c>
      <c r="L109" s="33">
        <f>0+K109</f>
        <v>0</v>
      </c>
      <c r="M109" s="34">
        <f t="shared" si="9"/>
        <v>0</v>
      </c>
      <c r="N109" s="35">
        <f t="shared" si="9"/>
        <v>0</v>
      </c>
      <c r="O109" s="64">
        <v>0</v>
      </c>
      <c r="P109" s="65">
        <v>0</v>
      </c>
    </row>
    <row r="110" spans="1:18" ht="29.2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0"/>
        <v>0</v>
      </c>
      <c r="L110" s="33">
        <f>0+K110</f>
        <v>0</v>
      </c>
      <c r="M110" s="34">
        <f t="shared" si="9"/>
        <v>0</v>
      </c>
      <c r="N110" s="35">
        <f t="shared" si="9"/>
        <v>0</v>
      </c>
      <c r="O110" s="64">
        <v>0</v>
      </c>
      <c r="P110" s="65">
        <v>0</v>
      </c>
      <c r="R110" s="96"/>
    </row>
    <row r="111" spans="1:16" ht="26.25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10"/>
        <v>0</v>
      </c>
      <c r="L111" s="33">
        <f>7200+K111</f>
        <v>7200</v>
      </c>
      <c r="M111" s="34">
        <f t="shared" si="9"/>
        <v>0</v>
      </c>
      <c r="N111" s="35">
        <f t="shared" si="9"/>
        <v>-7200</v>
      </c>
      <c r="O111" s="64">
        <v>0</v>
      </c>
      <c r="P111" s="65">
        <v>0</v>
      </c>
    </row>
    <row r="112" spans="1:16" ht="30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0"/>
        <v>0</v>
      </c>
      <c r="L112" s="33">
        <f>0+K112</f>
        <v>0</v>
      </c>
      <c r="M112" s="34">
        <f t="shared" si="9"/>
        <v>0</v>
      </c>
      <c r="N112" s="35">
        <f t="shared" si="9"/>
        <v>0</v>
      </c>
      <c r="O112" s="64">
        <v>0</v>
      </c>
      <c r="P112" s="65">
        <v>0</v>
      </c>
    </row>
    <row r="113" spans="1:18" ht="19.5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/>
      <c r="H113" s="74"/>
      <c r="I113" s="74"/>
      <c r="J113" s="74"/>
      <c r="K113" s="94">
        <f t="shared" si="10"/>
        <v>0</v>
      </c>
      <c r="L113" s="33">
        <f>41460.6+K113</f>
        <v>41460.6</v>
      </c>
      <c r="M113" s="34">
        <f t="shared" si="9"/>
        <v>0</v>
      </c>
      <c r="N113" s="35">
        <f t="shared" si="9"/>
        <v>-41460.6</v>
      </c>
      <c r="O113" s="64">
        <v>0</v>
      </c>
      <c r="P113" s="65">
        <v>0</v>
      </c>
      <c r="R113" s="95"/>
    </row>
    <row r="114" spans="1:16" ht="43.5" customHeight="1" thickBot="1">
      <c r="A114" s="60" t="s">
        <v>169</v>
      </c>
      <c r="B114" s="308" t="s">
        <v>170</v>
      </c>
      <c r="C114" s="309"/>
      <c r="D114" s="310"/>
      <c r="E114" s="31">
        <v>3000</v>
      </c>
      <c r="F114" s="31">
        <f>15000+E114</f>
        <v>18000</v>
      </c>
      <c r="G114" s="74">
        <v>2314.5</v>
      </c>
      <c r="H114" s="74"/>
      <c r="I114" s="74"/>
      <c r="J114" s="74"/>
      <c r="K114" s="94">
        <f t="shared" si="10"/>
        <v>2314.5</v>
      </c>
      <c r="L114" s="33">
        <f>5720.8+K114</f>
        <v>8035.3</v>
      </c>
      <c r="M114" s="34">
        <f>E114-K114</f>
        <v>685.5</v>
      </c>
      <c r="N114" s="35">
        <f t="shared" si="9"/>
        <v>9964.7</v>
      </c>
      <c r="O114" s="64">
        <v>0</v>
      </c>
      <c r="P114" s="65">
        <v>0</v>
      </c>
    </row>
    <row r="115" spans="1:16" ht="32.25" customHeight="1" thickBot="1">
      <c r="A115" s="60" t="s">
        <v>171</v>
      </c>
      <c r="B115" s="308" t="s">
        <v>172</v>
      </c>
      <c r="C115" s="309"/>
      <c r="D115" s="310"/>
      <c r="E115" s="31">
        <v>80000</v>
      </c>
      <c r="F115" s="31">
        <f>6000+E115</f>
        <v>86000</v>
      </c>
      <c r="G115" s="74"/>
      <c r="H115" s="74"/>
      <c r="I115" s="74"/>
      <c r="J115" s="74"/>
      <c r="K115" s="94">
        <f t="shared" si="10"/>
        <v>0</v>
      </c>
      <c r="L115" s="33">
        <f>0+K115</f>
        <v>0</v>
      </c>
      <c r="M115" s="34">
        <f t="shared" si="9"/>
        <v>80000</v>
      </c>
      <c r="N115" s="35">
        <f t="shared" si="9"/>
        <v>86000</v>
      </c>
      <c r="O115" s="64">
        <v>0</v>
      </c>
      <c r="P115" s="65">
        <v>0</v>
      </c>
    </row>
    <row r="116" spans="1:16" ht="32.25" customHeight="1" thickBot="1">
      <c r="A116" s="60" t="s">
        <v>173</v>
      </c>
      <c r="B116" s="308" t="s">
        <v>174</v>
      </c>
      <c r="C116" s="309"/>
      <c r="D116" s="310"/>
      <c r="E116" s="31"/>
      <c r="F116" s="31">
        <f>35000+E116</f>
        <v>35000</v>
      </c>
      <c r="G116" s="74"/>
      <c r="H116" s="74"/>
      <c r="I116" s="74"/>
      <c r="J116" s="74"/>
      <c r="K116" s="94">
        <f t="shared" si="10"/>
        <v>0</v>
      </c>
      <c r="L116" s="33">
        <f>0+K116</f>
        <v>0</v>
      </c>
      <c r="M116" s="34">
        <f t="shared" si="9"/>
        <v>0</v>
      </c>
      <c r="N116" s="35">
        <f t="shared" si="9"/>
        <v>35000</v>
      </c>
      <c r="O116" s="64">
        <v>0</v>
      </c>
      <c r="P116" s="65">
        <v>0</v>
      </c>
    </row>
    <row r="117" spans="1:16" ht="44.2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9"/>
        <v>0</v>
      </c>
      <c r="N117" s="35">
        <f t="shared" si="9"/>
        <v>0</v>
      </c>
      <c r="O117" s="64">
        <v>0</v>
      </c>
      <c r="P117" s="65">
        <v>0</v>
      </c>
    </row>
    <row r="118" spans="1:16" ht="32.25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>
        <v>55.72</v>
      </c>
      <c r="H118" s="74"/>
      <c r="I118" s="74"/>
      <c r="J118" s="74"/>
      <c r="K118" s="94">
        <f>G118</f>
        <v>55.72</v>
      </c>
      <c r="L118" s="33">
        <f>6526.81+K118</f>
        <v>6582.530000000001</v>
      </c>
      <c r="M118" s="34">
        <f t="shared" si="9"/>
        <v>-55.72</v>
      </c>
      <c r="N118" s="35">
        <f t="shared" si="9"/>
        <v>-6582.530000000001</v>
      </c>
      <c r="O118" s="64">
        <v>0</v>
      </c>
      <c r="P118" s="65">
        <v>0</v>
      </c>
    </row>
    <row r="119" spans="1:18" ht="30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9"/>
        <v>0</v>
      </c>
      <c r="N119" s="35">
        <f t="shared" si="9"/>
        <v>0</v>
      </c>
      <c r="O119" s="64">
        <v>0</v>
      </c>
      <c r="P119" s="65">
        <v>0</v>
      </c>
      <c r="R119" s="96">
        <f>F131+F129+F128+F119+F115+F114+F113+F107+F106</f>
        <v>785200</v>
      </c>
    </row>
    <row r="120" spans="1:16" ht="34.5" customHeight="1" thickBot="1">
      <c r="A120" s="97" t="s">
        <v>180</v>
      </c>
      <c r="B120" s="308" t="s">
        <v>181</v>
      </c>
      <c r="C120" s="309"/>
      <c r="D120" s="310"/>
      <c r="E120" s="31">
        <v>1600</v>
      </c>
      <c r="F120" s="31">
        <f>7800+E120</f>
        <v>9400</v>
      </c>
      <c r="G120" s="74">
        <v>800</v>
      </c>
      <c r="H120" s="74"/>
      <c r="I120" s="74"/>
      <c r="J120" s="74"/>
      <c r="K120" s="94">
        <f t="shared" si="10"/>
        <v>800</v>
      </c>
      <c r="L120" s="33">
        <f>8250+K120</f>
        <v>9050</v>
      </c>
      <c r="M120" s="34">
        <f t="shared" si="9"/>
        <v>800</v>
      </c>
      <c r="N120" s="35">
        <f t="shared" si="9"/>
        <v>350</v>
      </c>
      <c r="O120" s="64">
        <v>0</v>
      </c>
      <c r="P120" s="65">
        <v>0</v>
      </c>
    </row>
    <row r="121" spans="1:16" ht="15.75" thickBot="1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3" customHeight="1" hidden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customHeight="1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72" customHeight="1" thickBot="1">
      <c r="A124" s="234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231">
        <v>3</v>
      </c>
      <c r="G125" s="231">
        <v>4</v>
      </c>
      <c r="H125" s="231">
        <v>5</v>
      </c>
      <c r="I125" s="7">
        <v>6</v>
      </c>
      <c r="J125" s="7">
        <v>7</v>
      </c>
      <c r="K125" s="48">
        <v>8</v>
      </c>
      <c r="L125" s="228">
        <v>9</v>
      </c>
      <c r="M125" s="7">
        <v>10</v>
      </c>
      <c r="N125" s="228">
        <v>11</v>
      </c>
      <c r="O125" s="7">
        <v>12</v>
      </c>
      <c r="P125" s="228">
        <v>13</v>
      </c>
    </row>
    <row r="126" spans="1:16" ht="33.75" customHeight="1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11" ref="K126:K141">G126</f>
        <v>0</v>
      </c>
      <c r="L126" s="33">
        <f>0+K126</f>
        <v>0</v>
      </c>
      <c r="M126" s="34">
        <f aca="true" t="shared" si="12" ref="M126:N142">E126-K126</f>
        <v>0</v>
      </c>
      <c r="N126" s="35">
        <f t="shared" si="12"/>
        <v>0</v>
      </c>
      <c r="O126" s="64">
        <v>0</v>
      </c>
      <c r="P126" s="65">
        <v>0</v>
      </c>
    </row>
    <row r="127" spans="1:16" ht="45" customHeight="1" thickBot="1">
      <c r="A127" s="107" t="s">
        <v>184</v>
      </c>
      <c r="B127" s="325" t="s">
        <v>185</v>
      </c>
      <c r="C127" s="326"/>
      <c r="D127" s="327"/>
      <c r="E127" s="31"/>
      <c r="F127" s="31"/>
      <c r="G127" s="74"/>
      <c r="H127" s="74"/>
      <c r="I127" s="74"/>
      <c r="J127" s="74"/>
      <c r="K127" s="94">
        <f t="shared" si="11"/>
        <v>0</v>
      </c>
      <c r="L127" s="33">
        <f>0+K127</f>
        <v>0</v>
      </c>
      <c r="M127" s="34">
        <f t="shared" si="12"/>
        <v>0</v>
      </c>
      <c r="N127" s="35">
        <f t="shared" si="12"/>
        <v>0</v>
      </c>
      <c r="O127" s="64">
        <v>0</v>
      </c>
      <c r="P127" s="65">
        <v>0</v>
      </c>
    </row>
    <row r="128" spans="1:16" ht="43.5" customHeight="1" thickBot="1">
      <c r="A128" s="108" t="s">
        <v>186</v>
      </c>
      <c r="B128" s="325" t="s">
        <v>187</v>
      </c>
      <c r="C128" s="326"/>
      <c r="D128" s="327"/>
      <c r="E128" s="31">
        <v>200000</v>
      </c>
      <c r="F128" s="31">
        <f>200000+E128</f>
        <v>400000</v>
      </c>
      <c r="G128" s="74">
        <v>20730</v>
      </c>
      <c r="H128" s="74"/>
      <c r="I128" s="74"/>
      <c r="J128" s="74"/>
      <c r="K128" s="94">
        <f>I128+G128</f>
        <v>20730</v>
      </c>
      <c r="L128" s="33">
        <f>400486+K128</f>
        <v>421216</v>
      </c>
      <c r="M128" s="34">
        <f t="shared" si="12"/>
        <v>179270</v>
      </c>
      <c r="N128" s="35">
        <f t="shared" si="12"/>
        <v>-21216</v>
      </c>
      <c r="O128" s="64">
        <v>0</v>
      </c>
      <c r="P128" s="65">
        <v>0</v>
      </c>
    </row>
    <row r="129" spans="1:16" ht="45.75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2"/>
        <v>0</v>
      </c>
      <c r="N129" s="35">
        <f t="shared" si="12"/>
        <v>0</v>
      </c>
      <c r="O129" s="64">
        <v>0</v>
      </c>
      <c r="P129" s="65">
        <v>0</v>
      </c>
    </row>
    <row r="130" spans="1:16" ht="48" customHeight="1" thickBot="1">
      <c r="A130" s="109" t="s">
        <v>190</v>
      </c>
      <c r="B130" s="325" t="s">
        <v>191</v>
      </c>
      <c r="C130" s="326"/>
      <c r="D130" s="327"/>
      <c r="E130" s="31"/>
      <c r="F130" s="31"/>
      <c r="G130" s="74"/>
      <c r="H130" s="74"/>
      <c r="I130" s="74"/>
      <c r="J130" s="74"/>
      <c r="K130" s="94">
        <f>G130</f>
        <v>0</v>
      </c>
      <c r="L130" s="33">
        <f>3980+K130</f>
        <v>3980</v>
      </c>
      <c r="M130" s="34">
        <f t="shared" si="12"/>
        <v>0</v>
      </c>
      <c r="N130" s="35">
        <f t="shared" si="12"/>
        <v>-3980</v>
      </c>
      <c r="O130" s="64">
        <v>0</v>
      </c>
      <c r="P130" s="65">
        <v>0</v>
      </c>
    </row>
    <row r="131" spans="1:16" ht="48" customHeight="1" thickBot="1">
      <c r="A131" s="109" t="s">
        <v>192</v>
      </c>
      <c r="B131" s="460" t="s">
        <v>193</v>
      </c>
      <c r="C131" s="461"/>
      <c r="D131" s="462"/>
      <c r="E131" s="31"/>
      <c r="F131" s="31">
        <f>225000+E131</f>
        <v>225000</v>
      </c>
      <c r="G131" s="74">
        <v>3268</v>
      </c>
      <c r="H131" s="74"/>
      <c r="I131" s="74"/>
      <c r="J131" s="74"/>
      <c r="K131" s="94">
        <f>G131+I131</f>
        <v>3268</v>
      </c>
      <c r="L131" s="33">
        <f>0+K131</f>
        <v>3268</v>
      </c>
      <c r="M131" s="34">
        <f t="shared" si="12"/>
        <v>-3268</v>
      </c>
      <c r="N131" s="35">
        <f t="shared" si="12"/>
        <v>221732</v>
      </c>
      <c r="O131" s="64">
        <v>0</v>
      </c>
      <c r="P131" s="65">
        <v>0</v>
      </c>
    </row>
    <row r="132" spans="1:16" ht="21" customHeight="1" thickBot="1">
      <c r="A132" s="109" t="s">
        <v>213</v>
      </c>
      <c r="B132" s="460" t="s">
        <v>232</v>
      </c>
      <c r="C132" s="461"/>
      <c r="D132" s="462"/>
      <c r="E132" s="31"/>
      <c r="F132" s="31">
        <f>13650+E132</f>
        <v>13650</v>
      </c>
      <c r="G132" s="74"/>
      <c r="H132" s="74"/>
      <c r="I132" s="74"/>
      <c r="J132" s="74"/>
      <c r="K132" s="94">
        <f>G132+I132</f>
        <v>0</v>
      </c>
      <c r="L132" s="33">
        <f>8063+K132</f>
        <v>8063</v>
      </c>
      <c r="M132" s="34">
        <f t="shared" si="12"/>
        <v>0</v>
      </c>
      <c r="N132" s="35">
        <f t="shared" si="12"/>
        <v>5587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0</v>
      </c>
      <c r="F133" s="73">
        <f>F134</f>
        <v>56000</v>
      </c>
      <c r="G133" s="75">
        <f>G134+G135</f>
        <v>0</v>
      </c>
      <c r="H133" s="74"/>
      <c r="I133" s="74"/>
      <c r="J133" s="74"/>
      <c r="K133" s="93">
        <f t="shared" si="11"/>
        <v>0</v>
      </c>
      <c r="L133" s="55">
        <f>L134+L135</f>
        <v>8246</v>
      </c>
      <c r="M133" s="56">
        <f t="shared" si="12"/>
        <v>0</v>
      </c>
      <c r="N133" s="70">
        <f t="shared" si="12"/>
        <v>47754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155"/>
      <c r="F134" s="31">
        <f>56000+E134</f>
        <v>56000</v>
      </c>
      <c r="G134" s="74"/>
      <c r="H134" s="74"/>
      <c r="I134" s="74"/>
      <c r="J134" s="74"/>
      <c r="K134" s="94">
        <f t="shared" si="11"/>
        <v>0</v>
      </c>
      <c r="L134" s="33">
        <f>8246+K134</f>
        <v>8246</v>
      </c>
      <c r="M134" s="34">
        <f t="shared" si="12"/>
        <v>0</v>
      </c>
      <c r="N134" s="35">
        <f t="shared" si="12"/>
        <v>47754</v>
      </c>
      <c r="O134" s="64">
        <v>0</v>
      </c>
      <c r="P134" s="65">
        <v>0</v>
      </c>
      <c r="Q134" s="1"/>
      <c r="R134" s="1"/>
      <c r="S134" s="1"/>
    </row>
    <row r="135" spans="1:19" ht="32.2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1"/>
        <v>0</v>
      </c>
      <c r="L135" s="33">
        <f>0+K135</f>
        <v>0</v>
      </c>
      <c r="M135" s="34">
        <f t="shared" si="12"/>
        <v>0</v>
      </c>
      <c r="N135" s="35">
        <f t="shared" si="12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38750</v>
      </c>
      <c r="H136" s="74"/>
      <c r="I136" s="74"/>
      <c r="J136" s="74"/>
      <c r="K136" s="93">
        <f t="shared" si="11"/>
        <v>38750</v>
      </c>
      <c r="L136" s="55">
        <f>0+K136</f>
        <v>38750</v>
      </c>
      <c r="M136" s="56">
        <f t="shared" si="12"/>
        <v>-38750</v>
      </c>
      <c r="N136" s="70">
        <f t="shared" si="12"/>
        <v>-38750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>
        <v>38750</v>
      </c>
      <c r="H137" s="74"/>
      <c r="I137" s="74"/>
      <c r="J137" s="74"/>
      <c r="K137" s="94">
        <f t="shared" si="11"/>
        <v>38750</v>
      </c>
      <c r="L137" s="33">
        <f>0+K137</f>
        <v>38750</v>
      </c>
      <c r="M137" s="34">
        <f t="shared" si="12"/>
        <v>-38750</v>
      </c>
      <c r="N137" s="35">
        <f t="shared" si="12"/>
        <v>-38750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1"/>
        <v>0</v>
      </c>
      <c r="L138" s="33">
        <f>0+K138</f>
        <v>0</v>
      </c>
      <c r="M138" s="34">
        <f t="shared" si="12"/>
        <v>0</v>
      </c>
      <c r="N138" s="35">
        <f t="shared" si="12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 t="shared" si="11"/>
        <v>0</v>
      </c>
      <c r="L139" s="55">
        <f>L140</f>
        <v>0</v>
      </c>
      <c r="M139" s="56">
        <f t="shared" si="12"/>
        <v>0</v>
      </c>
      <c r="N139" s="70">
        <f t="shared" si="12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11"/>
        <v>0</v>
      </c>
      <c r="L140" s="33">
        <f>0+K140</f>
        <v>0</v>
      </c>
      <c r="M140" s="34">
        <f t="shared" si="12"/>
        <v>0</v>
      </c>
      <c r="N140" s="35">
        <f t="shared" si="12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1"/>
        <v>0</v>
      </c>
      <c r="L141" s="33">
        <f>0+K141</f>
        <v>0</v>
      </c>
      <c r="M141" s="34">
        <f t="shared" si="12"/>
        <v>0</v>
      </c>
      <c r="N141" s="35">
        <f t="shared" si="12"/>
        <v>0</v>
      </c>
      <c r="O141" s="64">
        <v>0</v>
      </c>
      <c r="P141" s="65">
        <v>0</v>
      </c>
      <c r="Q141" s="1"/>
      <c r="R141" s="1"/>
      <c r="S141" s="1"/>
    </row>
    <row r="142" spans="1:19" ht="27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>
        <v>150663.63</v>
      </c>
      <c r="K142" s="93">
        <f>J142</f>
        <v>150663.63</v>
      </c>
      <c r="L142" s="55">
        <f>739688.26+K142</f>
        <v>890351.89</v>
      </c>
      <c r="M142" s="56">
        <f>E142-K142</f>
        <v>-150663.63</v>
      </c>
      <c r="N142" s="70">
        <f t="shared" si="12"/>
        <v>-890351.89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224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212" t="s">
        <v>243</v>
      </c>
      <c r="P143" s="227"/>
      <c r="Q143" s="1"/>
      <c r="R143" s="1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225">
        <v>0</v>
      </c>
      <c r="N144" s="225">
        <v>0</v>
      </c>
      <c r="O144" s="4">
        <v>0</v>
      </c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-18665.440000000017</v>
      </c>
      <c r="H145" s="4">
        <f>G18+H10-H30-H34</f>
        <v>297172.93000000005</v>
      </c>
      <c r="I145" s="299">
        <f>I10+G19-I104-I66-I97-I76</f>
        <v>10.6</v>
      </c>
      <c r="J145" s="300"/>
      <c r="K145" s="120">
        <f>O10+G22-J54</f>
        <v>-844.66</v>
      </c>
      <c r="L145" s="4">
        <f>L10+G23-J142</f>
        <v>9944.190000000002</v>
      </c>
      <c r="M145" s="225">
        <v>0</v>
      </c>
      <c r="N145" s="4">
        <f>N10+G21-J33-J37-J88</f>
        <v>0</v>
      </c>
      <c r="O145" s="221">
        <f>G10+G20-H54</f>
        <v>0</v>
      </c>
      <c r="P145" s="4">
        <f>SUM(G145:O145)</f>
        <v>287617.62000000005</v>
      </c>
      <c r="Q145" s="1"/>
      <c r="R145" s="80">
        <f>P5+L16-L29</f>
        <v>287617.6199999992</v>
      </c>
      <c r="S145" s="37"/>
    </row>
    <row r="146" spans="1:19" ht="24.75" customHeight="1" thickBot="1">
      <c r="A146" s="122"/>
      <c r="B146" s="288" t="s">
        <v>242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287617.62000000005</v>
      </c>
      <c r="Q146" s="1"/>
      <c r="R146" s="37">
        <f>P5+L16-L29</f>
        <v>287617.6199999992</v>
      </c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222"/>
      <c r="C150" s="222"/>
      <c r="D150" s="222"/>
      <c r="E150" s="222"/>
      <c r="F150" s="222"/>
      <c r="G150" s="222"/>
      <c r="H150" s="222"/>
      <c r="I150" s="222"/>
      <c r="J150" s="130"/>
      <c r="K150" s="131"/>
      <c r="L150" s="130"/>
      <c r="M150" s="222"/>
      <c r="N150" s="222"/>
      <c r="O150" s="222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1">
    <mergeCell ref="B10:E10"/>
    <mergeCell ref="I10:J10"/>
    <mergeCell ref="B6:E6"/>
    <mergeCell ref="F6:O6"/>
    <mergeCell ref="B7:E7"/>
    <mergeCell ref="F7:P7"/>
    <mergeCell ref="B8:E8"/>
    <mergeCell ref="I8:J8"/>
    <mergeCell ref="B1:P1"/>
    <mergeCell ref="B2:P2"/>
    <mergeCell ref="B3:P3"/>
    <mergeCell ref="B4:P4"/>
    <mergeCell ref="B5:E5"/>
    <mergeCell ref="F5:O5"/>
    <mergeCell ref="B9:E9"/>
    <mergeCell ref="I9:J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49:E149"/>
    <mergeCell ref="F149:N149"/>
    <mergeCell ref="O149:P149"/>
    <mergeCell ref="B145:E145"/>
    <mergeCell ref="B148:E148"/>
    <mergeCell ref="F148:N148"/>
    <mergeCell ref="O148:P148"/>
    <mergeCell ref="B141:D141"/>
    <mergeCell ref="B143:E143"/>
    <mergeCell ref="I143:J143"/>
    <mergeCell ref="B144:E144"/>
    <mergeCell ref="I144:J144"/>
    <mergeCell ref="B142:D142"/>
    <mergeCell ref="I145:J145"/>
    <mergeCell ref="B146:E146"/>
    <mergeCell ref="F146:O146"/>
  </mergeCells>
  <printOptions/>
  <pageMargins left="0" right="0" top="0" bottom="0" header="0.11811023622047245" footer="0.11811023622047245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6">
      <selection activeCell="F146" sqref="F146:O146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7109375" style="2" customWidth="1"/>
    <col min="5" max="5" width="12.7109375" style="2" customWidth="1"/>
    <col min="6" max="6" width="14.28125" style="2" customWidth="1"/>
    <col min="7" max="7" width="12.7109375" style="2" customWidth="1"/>
    <col min="8" max="8" width="11.140625" style="2" customWidth="1"/>
    <col min="9" max="9" width="7.00390625" style="2" customWidth="1"/>
    <col min="10" max="10" width="11.00390625" style="2" customWidth="1"/>
    <col min="11" max="11" width="12.7109375" style="2" customWidth="1"/>
    <col min="12" max="12" width="14.00390625" style="2" customWidth="1"/>
    <col min="13" max="13" width="13.00390625" style="2" customWidth="1"/>
    <col min="14" max="14" width="12.7109375" style="2" customWidth="1"/>
    <col min="15" max="15" width="8.2812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 customHeight="1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 customHeight="1">
      <c r="A2" s="1"/>
      <c r="B2" s="458" t="s">
        <v>240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customHeight="1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4" customHeight="1" thickBot="1">
      <c r="A5" s="3"/>
      <c r="B5" s="451" t="s">
        <v>211</v>
      </c>
      <c r="C5" s="288"/>
      <c r="D5" s="288"/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1.75" customHeight="1" thickBot="1">
      <c r="A6" s="3"/>
      <c r="B6" s="451" t="s">
        <v>241</v>
      </c>
      <c r="C6" s="288"/>
      <c r="D6" s="288"/>
      <c r="E6" s="289"/>
      <c r="F6" s="290"/>
      <c r="G6" s="290"/>
      <c r="H6" s="290"/>
      <c r="I6" s="290"/>
      <c r="J6" s="290"/>
      <c r="K6" s="290"/>
      <c r="L6" s="290"/>
      <c r="M6" s="290"/>
      <c r="N6" s="290"/>
      <c r="O6" s="452"/>
      <c r="P6" s="241">
        <f>P10</f>
        <v>287617.62</v>
      </c>
    </row>
    <row r="7" spans="1:16" ht="15.75" thickBot="1">
      <c r="A7" s="3"/>
      <c r="B7" s="453"/>
      <c r="C7" s="454"/>
      <c r="D7" s="454"/>
      <c r="E7" s="455"/>
      <c r="F7" s="404"/>
      <c r="G7" s="404"/>
      <c r="H7" s="404"/>
      <c r="I7" s="404"/>
      <c r="J7" s="404"/>
      <c r="K7" s="404"/>
      <c r="L7" s="404"/>
      <c r="M7" s="404"/>
      <c r="N7" s="456"/>
      <c r="O7" s="456"/>
      <c r="P7" s="405"/>
    </row>
    <row r="8" spans="1:16" ht="75.75" customHeight="1" thickBot="1">
      <c r="A8" s="6"/>
      <c r="B8" s="451" t="s">
        <v>3</v>
      </c>
      <c r="C8" s="288"/>
      <c r="D8" s="288"/>
      <c r="E8" s="289"/>
      <c r="F8" s="251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238" t="s">
        <v>9</v>
      </c>
      <c r="N8" s="244" t="s">
        <v>10</v>
      </c>
      <c r="O8" s="11" t="s">
        <v>11</v>
      </c>
      <c r="P8" s="12"/>
    </row>
    <row r="9" spans="1:16" ht="21.75" customHeight="1" thickBot="1">
      <c r="A9" s="3"/>
      <c r="B9" s="448" t="s">
        <v>12</v>
      </c>
      <c r="C9" s="449"/>
      <c r="D9" s="449"/>
      <c r="E9" s="450"/>
      <c r="F9" s="240">
        <v>0</v>
      </c>
      <c r="G9" s="4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240">
        <v>0</v>
      </c>
      <c r="N9" s="4">
        <v>0</v>
      </c>
      <c r="O9" s="15">
        <v>0</v>
      </c>
      <c r="P9" s="241">
        <v>0</v>
      </c>
    </row>
    <row r="10" spans="1:16" ht="28.5" customHeight="1" thickBot="1">
      <c r="A10" s="3"/>
      <c r="B10" s="448" t="s">
        <v>13</v>
      </c>
      <c r="C10" s="449"/>
      <c r="D10" s="449"/>
      <c r="E10" s="450"/>
      <c r="F10" s="240">
        <v>-18665.44</v>
      </c>
      <c r="G10" s="4">
        <v>0</v>
      </c>
      <c r="H10" s="4">
        <v>297172.93</v>
      </c>
      <c r="I10" s="299">
        <v>10.6</v>
      </c>
      <c r="J10" s="300"/>
      <c r="K10" s="13">
        <v>0</v>
      </c>
      <c r="L10" s="4">
        <v>9944.19</v>
      </c>
      <c r="M10" s="240">
        <v>0</v>
      </c>
      <c r="N10" s="4">
        <v>0</v>
      </c>
      <c r="O10" s="4">
        <v>-844.66</v>
      </c>
      <c r="P10" s="241">
        <f>SUM(F10:O10)</f>
        <v>287617.62</v>
      </c>
    </row>
    <row r="11" spans="1:16" ht="15.75" thickBot="1">
      <c r="A11" s="248"/>
      <c r="B11" s="440"/>
      <c r="C11" s="441"/>
      <c r="D11" s="441"/>
      <c r="E11" s="44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6" ht="15" customHeight="1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15.75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245">
        <v>3</v>
      </c>
      <c r="G14" s="403">
        <v>4</v>
      </c>
      <c r="H14" s="404"/>
      <c r="I14" s="404"/>
      <c r="J14" s="405"/>
      <c r="K14" s="19">
        <v>5</v>
      </c>
      <c r="L14" s="243">
        <v>6</v>
      </c>
      <c r="M14" s="7">
        <v>7</v>
      </c>
      <c r="N14" s="243">
        <v>8</v>
      </c>
      <c r="O14" s="243">
        <v>9</v>
      </c>
      <c r="P14" s="7">
        <v>10</v>
      </c>
    </row>
    <row r="15" spans="1:16" ht="33" customHeight="1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2.25" customHeight="1" thickBot="1">
      <c r="A16" s="413"/>
      <c r="B16" s="431"/>
      <c r="C16" s="432"/>
      <c r="D16" s="433"/>
      <c r="E16" s="26">
        <f>SUM(E17:E23)</f>
        <v>525150</v>
      </c>
      <c r="F16" s="27">
        <f>SUM(F17:F23)</f>
        <v>11760339</v>
      </c>
      <c r="G16" s="437">
        <f>G17+G18+G19+G20+G21+G22+G23</f>
        <v>1111111</v>
      </c>
      <c r="H16" s="438"/>
      <c r="I16" s="438"/>
      <c r="J16" s="439"/>
      <c r="K16" s="250">
        <f>SUM(K17:K23)</f>
        <v>1111111</v>
      </c>
      <c r="L16" s="250">
        <f>SUM(L17:L23)</f>
        <v>11093959.35</v>
      </c>
      <c r="M16" s="250">
        <f>SUM(M17:M23)</f>
        <v>-585961</v>
      </c>
      <c r="N16" s="250">
        <f>SUM(N17:N23)</f>
        <v>666379.6499999998</v>
      </c>
      <c r="O16" s="29">
        <v>0</v>
      </c>
      <c r="P16" s="29">
        <v>0</v>
      </c>
    </row>
    <row r="17" spans="1:18" ht="56.25" customHeight="1" thickBot="1">
      <c r="A17" s="30" t="s">
        <v>29</v>
      </c>
      <c r="B17" s="393" t="s">
        <v>30</v>
      </c>
      <c r="C17" s="394"/>
      <c r="D17" s="395"/>
      <c r="E17" s="154">
        <v>182839</v>
      </c>
      <c r="F17" s="31">
        <f>6585089+E17</f>
        <v>6767928</v>
      </c>
      <c r="G17" s="409">
        <v>873569</v>
      </c>
      <c r="H17" s="410"/>
      <c r="I17" s="410"/>
      <c r="J17" s="411"/>
      <c r="K17" s="247">
        <f>G17</f>
        <v>873569</v>
      </c>
      <c r="L17" s="33">
        <f>4596458.7+K17</f>
        <v>5470027.7</v>
      </c>
      <c r="M17" s="34">
        <f>E17-K17</f>
        <v>-690730</v>
      </c>
      <c r="N17" s="35">
        <f>F17-L17</f>
        <v>1297900.2999999998</v>
      </c>
      <c r="O17" s="36">
        <v>0</v>
      </c>
      <c r="P17" s="36">
        <v>0</v>
      </c>
      <c r="Q17" s="1"/>
      <c r="R17" s="37">
        <v>365352.1499999948</v>
      </c>
    </row>
    <row r="18" spans="1:18" ht="44.25" customHeight="1" thickBot="1">
      <c r="A18" s="38" t="s">
        <v>31</v>
      </c>
      <c r="B18" s="422" t="s">
        <v>32</v>
      </c>
      <c r="C18" s="423"/>
      <c r="D18" s="424"/>
      <c r="E18" s="148">
        <v>309311</v>
      </c>
      <c r="F18" s="31">
        <f>3369000+E18</f>
        <v>3678311</v>
      </c>
      <c r="G18" s="409">
        <v>230400</v>
      </c>
      <c r="H18" s="410"/>
      <c r="I18" s="410"/>
      <c r="J18" s="411"/>
      <c r="K18" s="247">
        <f>G18</f>
        <v>230400</v>
      </c>
      <c r="L18" s="33">
        <f>3369270+K18</f>
        <v>3599670</v>
      </c>
      <c r="M18" s="34">
        <f>E18-K18</f>
        <v>78911</v>
      </c>
      <c r="N18" s="35">
        <f>F18-L18</f>
        <v>78641</v>
      </c>
      <c r="O18" s="36">
        <v>0</v>
      </c>
      <c r="P18" s="36">
        <v>0</v>
      </c>
      <c r="Q18" s="1"/>
      <c r="R18" s="1"/>
    </row>
    <row r="19" spans="1:18" ht="38.2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247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52.5" customHeight="1" thickBot="1">
      <c r="A20" s="41" t="s">
        <v>35</v>
      </c>
      <c r="B20" s="416" t="s">
        <v>36</v>
      </c>
      <c r="C20" s="417"/>
      <c r="D20" s="418"/>
      <c r="E20" s="42">
        <v>33000</v>
      </c>
      <c r="F20" s="31">
        <f>1281100+E20</f>
        <v>1314100</v>
      </c>
      <c r="G20" s="409"/>
      <c r="H20" s="410"/>
      <c r="I20" s="410"/>
      <c r="J20" s="411"/>
      <c r="K20" s="247">
        <f>G20</f>
        <v>0</v>
      </c>
      <c r="L20" s="33">
        <f>1257426.06+K20</f>
        <v>1257426.06</v>
      </c>
      <c r="M20" s="34">
        <f t="shared" si="0"/>
        <v>33000</v>
      </c>
      <c r="N20" s="35">
        <f t="shared" si="0"/>
        <v>56673.939999999944</v>
      </c>
      <c r="O20" s="36">
        <v>0</v>
      </c>
      <c r="P20" s="36">
        <v>0</v>
      </c>
      <c r="Q20" s="37"/>
      <c r="R20" s="37"/>
    </row>
    <row r="21" spans="1:18" ht="30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247">
        <f>G21</f>
        <v>0</v>
      </c>
      <c r="L21" s="33">
        <f>21850+K21</f>
        <v>21850</v>
      </c>
      <c r="M21" s="34">
        <f t="shared" si="0"/>
        <v>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37.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>
        <v>810</v>
      </c>
      <c r="H22" s="410"/>
      <c r="I22" s="410"/>
      <c r="J22" s="411"/>
      <c r="K22" s="247">
        <f>G22</f>
        <v>810</v>
      </c>
      <c r="L22" s="33">
        <f>8145.66+K22</f>
        <v>8955.66</v>
      </c>
      <c r="M22" s="34">
        <f>E22-K22</f>
        <v>-810</v>
      </c>
      <c r="N22" s="35">
        <f t="shared" si="0"/>
        <v>-8955.66</v>
      </c>
      <c r="O22" s="36">
        <v>0</v>
      </c>
      <c r="P22" s="36">
        <v>0</v>
      </c>
      <c r="Q22" s="1"/>
      <c r="R22" s="1"/>
    </row>
    <row r="23" spans="1:18" ht="30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6332</v>
      </c>
      <c r="H23" s="410"/>
      <c r="I23" s="410"/>
      <c r="J23" s="411"/>
      <c r="K23" s="247">
        <f>G23</f>
        <v>6332</v>
      </c>
      <c r="L23" s="33">
        <f>704897.93+K23</f>
        <v>711229.93</v>
      </c>
      <c r="M23" s="34">
        <f t="shared" si="0"/>
        <v>-6332</v>
      </c>
      <c r="N23" s="35">
        <f t="shared" si="0"/>
        <v>-711229.93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3.75" customHeight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customHeight="1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94.5" customHeight="1" thickBot="1">
      <c r="A27" s="413"/>
      <c r="B27" s="371"/>
      <c r="C27" s="372"/>
      <c r="D27" s="373"/>
      <c r="E27" s="375"/>
      <c r="F27" s="377"/>
      <c r="G27" s="246" t="s">
        <v>45</v>
      </c>
      <c r="H27" s="246" t="s">
        <v>46</v>
      </c>
      <c r="I27" s="246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5.75" thickBot="1">
      <c r="A28" s="3"/>
      <c r="B28" s="316">
        <v>1</v>
      </c>
      <c r="C28" s="317"/>
      <c r="D28" s="318"/>
      <c r="E28" s="17" t="s">
        <v>22</v>
      </c>
      <c r="F28" s="246">
        <v>3</v>
      </c>
      <c r="G28" s="246">
        <v>4</v>
      </c>
      <c r="H28" s="246">
        <v>5</v>
      </c>
      <c r="I28" s="7">
        <v>6</v>
      </c>
      <c r="J28" s="7">
        <v>7</v>
      </c>
      <c r="K28" s="48">
        <v>8</v>
      </c>
      <c r="L28" s="243">
        <v>9</v>
      </c>
      <c r="M28" s="7">
        <v>10</v>
      </c>
      <c r="N28" s="243">
        <v>11</v>
      </c>
      <c r="O28" s="7">
        <v>12</v>
      </c>
      <c r="P28" s="243">
        <v>13</v>
      </c>
      <c r="Q28" s="1"/>
      <c r="R28" s="1"/>
    </row>
    <row r="29" spans="1:18" ht="15.75" thickBot="1">
      <c r="A29" s="3"/>
      <c r="B29" s="403" t="s">
        <v>23</v>
      </c>
      <c r="C29" s="404"/>
      <c r="D29" s="405"/>
      <c r="E29" s="49">
        <f>E30+E34+E38+E44+E51+E54+E64+E67+E71+E74+E78+E80+E88+E101+E133+E136+E139+E142</f>
        <v>525150</v>
      </c>
      <c r="F29" s="49">
        <f>F30+F34+F38+F44+F51+F54+F64+F67+F71+F74+F78+F80+F88+F101+F133+F136+F139+F142</f>
        <v>11760339</v>
      </c>
      <c r="G29" s="49">
        <f>G30+G34+G38+G44+G51+G54+G64+G67+G71+G74+G78+G80+G88+G101+G133+G136+G139+G142</f>
        <v>859730.2900000002</v>
      </c>
      <c r="H29" s="49">
        <f>H30+H34+H38+H44+H51+H54+H64+H67+H71+H74+H78+H80+H88+H101+H133+H136+H139+H142</f>
        <v>522946.24</v>
      </c>
      <c r="I29" s="49">
        <f>I30+I34+I38+I44+I51+I54+I64+I67+I71+I74+I78+I80+I88+I101+I133+I136+I139+I142</f>
        <v>0</v>
      </c>
      <c r="J29" s="49">
        <f>J30+J34+J38+J44+J51+J54+J64+J67+J71+J74+J78+J80+J88+J101+J133+J136+J139+J142</f>
        <v>0</v>
      </c>
      <c r="K29" s="49">
        <f>K30+K34+K38+K44+K51+K54+K64+K67+K71+K74+K78+K80+K88+K101+K133+K136+K139+K142</f>
        <v>1382676.53</v>
      </c>
      <c r="L29" s="49">
        <f>L30+L34+L38+L44+L51+L54+L64+L67+L71+L74+L78+L80+L88+L101+L133+L136+L139+L142</f>
        <v>11324331.680000002</v>
      </c>
      <c r="M29" s="49">
        <f>M30+M34+M38+M44+M51+M54+M64+M67+M71+M74+M78+M80+M88+M101+M133+M136+M139+M142</f>
        <v>-857526.53</v>
      </c>
      <c r="N29" s="49">
        <f>N30+N34+N38+N44+N51+N54+N64+N67+N71+N74+N78+N80+N88+N101+N133+N136+N139+N142</f>
        <v>436007.32000000065</v>
      </c>
      <c r="O29" s="50">
        <v>0</v>
      </c>
      <c r="P29" s="50">
        <v>0</v>
      </c>
      <c r="Q29" s="1"/>
      <c r="R29" s="37">
        <f>3440426+E29</f>
        <v>3965576</v>
      </c>
    </row>
    <row r="30" spans="1:18" ht="21.75" customHeight="1" thickBot="1">
      <c r="A30" s="51" t="s">
        <v>21</v>
      </c>
      <c r="B30" s="402" t="s">
        <v>49</v>
      </c>
      <c r="C30" s="304"/>
      <c r="D30" s="305"/>
      <c r="E30" s="52">
        <f>SUM(E31:E32)</f>
        <v>304371</v>
      </c>
      <c r="F30" s="53">
        <f>F31+F32+F33</f>
        <v>5431586</v>
      </c>
      <c r="G30" s="54">
        <f>G31+G32+G33</f>
        <v>693639.81</v>
      </c>
      <c r="H30" s="54">
        <f>H31</f>
        <v>240314.94</v>
      </c>
      <c r="I30" s="54"/>
      <c r="J30" s="54">
        <f>J33</f>
        <v>0</v>
      </c>
      <c r="K30" s="53">
        <f>G30+H30+J30</f>
        <v>933954.75</v>
      </c>
      <c r="L30" s="55">
        <f>L31+L32+L33</f>
        <v>5757979.609999999</v>
      </c>
      <c r="M30" s="56">
        <f>E30-K30</f>
        <v>-629583.75</v>
      </c>
      <c r="N30" s="57">
        <f>F30-L30</f>
        <v>-326393.6099999994</v>
      </c>
      <c r="O30" s="58">
        <v>0</v>
      </c>
      <c r="P30" s="59">
        <v>0</v>
      </c>
      <c r="Q30" s="37"/>
      <c r="R30" s="37"/>
    </row>
    <row r="31" spans="1:18" ht="26.25" customHeight="1" thickBot="1">
      <c r="A31" s="60" t="s">
        <v>50</v>
      </c>
      <c r="B31" s="388" t="s">
        <v>51</v>
      </c>
      <c r="C31" s="389"/>
      <c r="D31" s="390"/>
      <c r="E31" s="172">
        <v>257330</v>
      </c>
      <c r="F31" s="31">
        <f>2802829+E31</f>
        <v>3060159</v>
      </c>
      <c r="G31" s="62"/>
      <c r="H31" s="62">
        <v>240314.94</v>
      </c>
      <c r="I31" s="62"/>
      <c r="J31" s="62"/>
      <c r="K31" s="45">
        <f>H31</f>
        <v>240314.94</v>
      </c>
      <c r="L31" s="33">
        <f>2697733.07+K31</f>
        <v>2938048.01</v>
      </c>
      <c r="M31" s="34">
        <f>E31-K31</f>
        <v>17015.059999999998</v>
      </c>
      <c r="N31" s="63">
        <f>F31-L31</f>
        <v>122110.99000000022</v>
      </c>
      <c r="O31" s="64">
        <v>0</v>
      </c>
      <c r="P31" s="65">
        <v>0</v>
      </c>
      <c r="Q31" s="37"/>
      <c r="R31" s="37"/>
    </row>
    <row r="32" spans="1:18" ht="30" customHeight="1" thickBot="1">
      <c r="A32" s="60" t="s">
        <v>52</v>
      </c>
      <c r="B32" s="301" t="s">
        <v>53</v>
      </c>
      <c r="C32" s="302"/>
      <c r="D32" s="303"/>
      <c r="E32" s="172">
        <v>47041</v>
      </c>
      <c r="F32" s="31">
        <f>2324386+E32</f>
        <v>2371427</v>
      </c>
      <c r="G32" s="62">
        <v>693639.81</v>
      </c>
      <c r="H32" s="62"/>
      <c r="I32" s="62"/>
      <c r="J32" s="62"/>
      <c r="K32" s="33">
        <f>G32</f>
        <v>693639.81</v>
      </c>
      <c r="L32" s="33">
        <f>2108571.79+K32</f>
        <v>2802211.6</v>
      </c>
      <c r="M32" s="34">
        <f>E32-K32</f>
        <v>-646598.81</v>
      </c>
      <c r="N32" s="63">
        <f>F32-L32</f>
        <v>-430784.6000000001</v>
      </c>
      <c r="O32" s="64">
        <v>0</v>
      </c>
      <c r="P32" s="65">
        <v>0</v>
      </c>
      <c r="Q32" s="37"/>
      <c r="R32" s="37"/>
    </row>
    <row r="33" spans="1:18" ht="27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>
        <f>J33</f>
        <v>0</v>
      </c>
      <c r="L33" s="33">
        <f>17720+K33</f>
        <v>17720</v>
      </c>
      <c r="M33" s="34">
        <f>E33-K33</f>
        <v>0</v>
      </c>
      <c r="N33" s="35">
        <f>F33-L33</f>
        <v>-17720</v>
      </c>
      <c r="O33" s="64">
        <v>0</v>
      </c>
      <c r="P33" s="65">
        <v>0</v>
      </c>
      <c r="Q33" s="37"/>
      <c r="R33" s="37"/>
    </row>
    <row r="34" spans="1:18" ht="36" customHeight="1" thickBot="1">
      <c r="A34" s="69" t="s">
        <v>22</v>
      </c>
      <c r="B34" s="357" t="s">
        <v>56</v>
      </c>
      <c r="C34" s="358"/>
      <c r="D34" s="359"/>
      <c r="E34" s="53">
        <f>SUM(E35:E37)</f>
        <v>61483</v>
      </c>
      <c r="F34" s="53">
        <f>F35+F36+F37</f>
        <v>1097181</v>
      </c>
      <c r="G34" s="54">
        <f>G35+G36+G37</f>
        <v>134727.28</v>
      </c>
      <c r="H34" s="54">
        <f>H35</f>
        <v>282631.3</v>
      </c>
      <c r="I34" s="54"/>
      <c r="J34" s="54">
        <f>J37</f>
        <v>0</v>
      </c>
      <c r="K34" s="53">
        <f>G34+H34+J34</f>
        <v>417358.57999999996</v>
      </c>
      <c r="L34" s="55">
        <f>L35+L36+L37</f>
        <v>1233428.54</v>
      </c>
      <c r="M34" s="56">
        <f aca="true" t="shared" si="1" ref="M34:N37">E34-K34</f>
        <v>-355875.57999999996</v>
      </c>
      <c r="N34" s="70">
        <f t="shared" si="1"/>
        <v>-136247.54000000004</v>
      </c>
      <c r="O34" s="58">
        <v>0</v>
      </c>
      <c r="P34" s="59">
        <v>0</v>
      </c>
      <c r="Q34" s="1"/>
      <c r="R34" s="1"/>
    </row>
    <row r="35" spans="1:18" ht="29.25" customHeight="1" thickBot="1">
      <c r="A35" s="60" t="s">
        <v>57</v>
      </c>
      <c r="B35" s="388" t="s">
        <v>51</v>
      </c>
      <c r="C35" s="389"/>
      <c r="D35" s="390"/>
      <c r="E35" s="173">
        <v>51981</v>
      </c>
      <c r="F35" s="31">
        <f>566171+E35</f>
        <v>618152</v>
      </c>
      <c r="G35" s="62"/>
      <c r="H35" s="62">
        <v>282631.3</v>
      </c>
      <c r="I35" s="62"/>
      <c r="J35" s="62"/>
      <c r="K35" s="45">
        <f>H35</f>
        <v>282631.3</v>
      </c>
      <c r="L35" s="33">
        <f>374364+K35</f>
        <v>656995.3</v>
      </c>
      <c r="M35" s="34">
        <f t="shared" si="1"/>
        <v>-230650.3</v>
      </c>
      <c r="N35" s="63">
        <f t="shared" si="1"/>
        <v>-38843.30000000005</v>
      </c>
      <c r="O35" s="64">
        <v>0</v>
      </c>
      <c r="P35" s="65">
        <v>0</v>
      </c>
      <c r="Q35" s="1"/>
      <c r="R35" s="71">
        <f>10506304-F29</f>
        <v>-1254035</v>
      </c>
    </row>
    <row r="36" spans="1:18" ht="15.75" customHeight="1" thickBot="1">
      <c r="A36" s="60" t="s">
        <v>58</v>
      </c>
      <c r="B36" s="301" t="s">
        <v>53</v>
      </c>
      <c r="C36" s="302"/>
      <c r="D36" s="303"/>
      <c r="E36" s="173">
        <v>9502</v>
      </c>
      <c r="F36" s="31">
        <f>469527+E36</f>
        <v>479029</v>
      </c>
      <c r="G36" s="62">
        <v>134727.28</v>
      </c>
      <c r="H36" s="62"/>
      <c r="I36" s="62"/>
      <c r="J36" s="62"/>
      <c r="K36" s="45">
        <f>G36</f>
        <v>134727.28</v>
      </c>
      <c r="L36" s="33">
        <f>438162.88+K36</f>
        <v>572890.16</v>
      </c>
      <c r="M36" s="220">
        <f>E36-K36</f>
        <v>-125225.28</v>
      </c>
      <c r="N36" s="63">
        <f t="shared" si="1"/>
        <v>-93861.16000000003</v>
      </c>
      <c r="O36" s="64">
        <v>0</v>
      </c>
      <c r="P36" s="65">
        <v>0</v>
      </c>
      <c r="Q36" s="1"/>
      <c r="R36" s="1"/>
    </row>
    <row r="37" spans="1:18" ht="1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>
        <f>J37</f>
        <v>0</v>
      </c>
      <c r="L37" s="33">
        <f>3543.08+K37</f>
        <v>3543.08</v>
      </c>
      <c r="M37" s="220">
        <f>E37-K37</f>
        <v>0</v>
      </c>
      <c r="N37" s="63">
        <f t="shared" si="1"/>
        <v>-3543.08</v>
      </c>
      <c r="O37" s="64">
        <v>0</v>
      </c>
      <c r="P37" s="65">
        <v>0</v>
      </c>
      <c r="Q37" s="1"/>
      <c r="R37" s="1"/>
    </row>
    <row r="38" spans="1:18" ht="29.25" customHeight="1" thickBot="1">
      <c r="A38" s="51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80922</v>
      </c>
      <c r="G38" s="54">
        <f>G40</f>
        <v>4683.5599999999995</v>
      </c>
      <c r="H38" s="54"/>
      <c r="I38" s="54"/>
      <c r="J38" s="54"/>
      <c r="K38" s="55">
        <f>K39+K40</f>
        <v>4683.5599999999995</v>
      </c>
      <c r="L38" s="55">
        <f>L40+L39</f>
        <v>35427.76</v>
      </c>
      <c r="M38" s="56">
        <f>E38-K38</f>
        <v>4162.4400000000005</v>
      </c>
      <c r="N38" s="57">
        <f>F38-L38</f>
        <v>45494.24</v>
      </c>
      <c r="O38" s="58">
        <v>0</v>
      </c>
      <c r="P38" s="59">
        <v>0</v>
      </c>
      <c r="Q38" s="1"/>
      <c r="R38" s="1"/>
    </row>
    <row r="39" spans="1:18" ht="30.7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27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72076+E40</f>
        <v>80922</v>
      </c>
      <c r="G40" s="62">
        <f>G41+G42</f>
        <v>4683.5599999999995</v>
      </c>
      <c r="H40" s="62"/>
      <c r="I40" s="62"/>
      <c r="J40" s="62"/>
      <c r="K40" s="33">
        <f>0+G40</f>
        <v>4683.5599999999995</v>
      </c>
      <c r="L40" s="33">
        <f>L41+L42+L43</f>
        <v>35427.76</v>
      </c>
      <c r="M40" s="34">
        <f>E40-K40</f>
        <v>4162.4400000000005</v>
      </c>
      <c r="N40" s="63">
        <f aca="true" t="shared" si="2" ref="M40:N55">F40-L40</f>
        <v>45494.24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17076+E41</f>
        <v>19922</v>
      </c>
      <c r="G41" s="62">
        <v>2446.23</v>
      </c>
      <c r="H41" s="62"/>
      <c r="I41" s="62"/>
      <c r="J41" s="62"/>
      <c r="K41" s="33">
        <f>0+G41</f>
        <v>2446.23</v>
      </c>
      <c r="L41" s="33">
        <f>13531.27+K41</f>
        <v>15977.5</v>
      </c>
      <c r="M41" s="34">
        <f t="shared" si="2"/>
        <v>399.77</v>
      </c>
      <c r="N41" s="63">
        <f t="shared" si="2"/>
        <v>3944.5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52000+E42</f>
        <v>58000</v>
      </c>
      <c r="G42" s="62">
        <v>2237.33</v>
      </c>
      <c r="H42" s="62"/>
      <c r="I42" s="62"/>
      <c r="J42" s="62"/>
      <c r="K42" s="33">
        <f>0+G42</f>
        <v>2237.33</v>
      </c>
      <c r="L42" s="33">
        <f>15099.93+K42</f>
        <v>17337.260000000002</v>
      </c>
      <c r="M42" s="34">
        <f t="shared" si="2"/>
        <v>3762.67</v>
      </c>
      <c r="N42" s="63">
        <f t="shared" si="2"/>
        <v>40662.74</v>
      </c>
      <c r="O42" s="64">
        <v>0</v>
      </c>
      <c r="P42" s="65">
        <v>0</v>
      </c>
      <c r="Q42" s="1"/>
      <c r="R42" s="1"/>
    </row>
    <row r="43" spans="1:18" ht="15.75" customHeight="1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2"/>
        <v>0</v>
      </c>
      <c r="N43" s="63">
        <f t="shared" si="2"/>
        <v>887</v>
      </c>
      <c r="O43" s="64">
        <v>0</v>
      </c>
      <c r="P43" s="65">
        <v>0</v>
      </c>
      <c r="Q43" s="1"/>
      <c r="R43" s="37"/>
    </row>
    <row r="44" spans="1:18" ht="33.75" customHeight="1" thickBot="1">
      <c r="A44" s="51" t="s">
        <v>69</v>
      </c>
      <c r="B44" s="357" t="s">
        <v>70</v>
      </c>
      <c r="C44" s="358"/>
      <c r="D44" s="359"/>
      <c r="E44" s="53">
        <f>SUM(E47:E49)</f>
        <v>0</v>
      </c>
      <c r="F44" s="73">
        <f>F45+F46+F47</f>
        <v>1268000</v>
      </c>
      <c r="G44" s="55">
        <f>G45+G46+G47</f>
        <v>6603</v>
      </c>
      <c r="H44" s="75"/>
      <c r="I44" s="75"/>
      <c r="J44" s="54"/>
      <c r="K44" s="55">
        <f>K45+K46+K47</f>
        <v>6603</v>
      </c>
      <c r="L44" s="55">
        <f>L45+L46+L47</f>
        <v>996728</v>
      </c>
      <c r="M44" s="56">
        <f t="shared" si="2"/>
        <v>-6603</v>
      </c>
      <c r="N44" s="158">
        <f t="shared" si="2"/>
        <v>271272</v>
      </c>
      <c r="O44" s="58">
        <v>0</v>
      </c>
      <c r="P44" s="59">
        <v>0</v>
      </c>
      <c r="Q44" s="1"/>
      <c r="R44" s="1"/>
    </row>
    <row r="45" spans="1:18" ht="27" customHeight="1" thickBot="1">
      <c r="A45" s="60" t="s">
        <v>71</v>
      </c>
      <c r="B45" s="301" t="s">
        <v>53</v>
      </c>
      <c r="C45" s="302"/>
      <c r="D45" s="303"/>
      <c r="E45" s="155">
        <f>E48+E49</f>
        <v>0</v>
      </c>
      <c r="F45" s="31">
        <f>F48+F49+F50</f>
        <v>1268000</v>
      </c>
      <c r="G45" s="33">
        <f>G48+G49</f>
        <v>6603</v>
      </c>
      <c r="H45" s="74"/>
      <c r="I45" s="74"/>
      <c r="J45" s="62"/>
      <c r="K45" s="33">
        <f>0+G45</f>
        <v>6603</v>
      </c>
      <c r="L45" s="33">
        <f>L48+L49</f>
        <v>996728</v>
      </c>
      <c r="M45" s="34">
        <f>E45-K45</f>
        <v>-6603</v>
      </c>
      <c r="N45" s="35">
        <f t="shared" si="2"/>
        <v>271272</v>
      </c>
      <c r="O45" s="64">
        <v>0</v>
      </c>
      <c r="P45" s="65">
        <v>0</v>
      </c>
      <c r="Q45" s="1"/>
      <c r="R45" s="1"/>
    </row>
    <row r="46" spans="1:18" ht="27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4.2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308" t="s">
        <v>75</v>
      </c>
      <c r="C48" s="309"/>
      <c r="D48" s="310"/>
      <c r="E48" s="252"/>
      <c r="F48" s="31">
        <f>1248000+E48</f>
        <v>1248000</v>
      </c>
      <c r="G48" s="74">
        <v>6603</v>
      </c>
      <c r="H48" s="74"/>
      <c r="I48" s="74"/>
      <c r="J48" s="62"/>
      <c r="K48" s="33">
        <f>0+G48</f>
        <v>6603</v>
      </c>
      <c r="L48" s="33">
        <f>983294.5+K48</f>
        <v>989897.5</v>
      </c>
      <c r="M48" s="34">
        <f>E48-K48</f>
        <v>-6603</v>
      </c>
      <c r="N48" s="63">
        <f t="shared" si="2"/>
        <v>258102.5</v>
      </c>
      <c r="O48" s="64">
        <v>0</v>
      </c>
      <c r="P48" s="65">
        <v>0</v>
      </c>
      <c r="Q48" s="1"/>
      <c r="R48" s="37"/>
    </row>
    <row r="49" spans="1:18" ht="30" customHeight="1" thickBot="1">
      <c r="A49" s="60" t="s">
        <v>76</v>
      </c>
      <c r="B49" s="308" t="s">
        <v>77</v>
      </c>
      <c r="C49" s="309"/>
      <c r="D49" s="310"/>
      <c r="E49" s="156"/>
      <c r="F49" s="31">
        <f>20000+E49</f>
        <v>20000</v>
      </c>
      <c r="G49" s="74"/>
      <c r="H49" s="74"/>
      <c r="I49" s="74"/>
      <c r="J49" s="62"/>
      <c r="K49" s="33">
        <f t="shared" si="3"/>
        <v>0</v>
      </c>
      <c r="L49" s="33">
        <f>6830.5+K49</f>
        <v>6830.5</v>
      </c>
      <c r="M49" s="34">
        <f t="shared" si="2"/>
        <v>0</v>
      </c>
      <c r="N49" s="63">
        <f t="shared" si="2"/>
        <v>13169.5</v>
      </c>
      <c r="O49" s="64">
        <v>0</v>
      </c>
      <c r="P49" s="65">
        <v>0</v>
      </c>
      <c r="Q49" s="1"/>
      <c r="R49" s="1"/>
    </row>
    <row r="50" spans="1:18" ht="22.5" customHeight="1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1.75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56.25" customHeight="1" thickBot="1">
      <c r="A54" s="51" t="s">
        <v>84</v>
      </c>
      <c r="B54" s="357" t="s">
        <v>85</v>
      </c>
      <c r="C54" s="358"/>
      <c r="D54" s="359"/>
      <c r="E54" s="53">
        <f>SUM(E59:E63)</f>
        <v>33000</v>
      </c>
      <c r="F54" s="73">
        <f>F55+F56+F58</f>
        <v>1314100</v>
      </c>
      <c r="G54" s="55">
        <f>G55+G56+G57+G58</f>
        <v>0</v>
      </c>
      <c r="H54" s="55">
        <f>H55+H56+H57+H58</f>
        <v>0</v>
      </c>
      <c r="I54" s="55"/>
      <c r="J54" s="55">
        <f>J55+J56+J57+J58</f>
        <v>0</v>
      </c>
      <c r="K54" s="55">
        <f>K55+K56+K57</f>
        <v>0</v>
      </c>
      <c r="L54" s="55">
        <f>L55+L56+L57+L58</f>
        <v>1545957.16</v>
      </c>
      <c r="M54" s="56">
        <f t="shared" si="2"/>
        <v>33000</v>
      </c>
      <c r="N54" s="70">
        <f t="shared" si="2"/>
        <v>-231857.15999999992</v>
      </c>
      <c r="O54" s="58">
        <v>0</v>
      </c>
      <c r="P54" s="59">
        <v>0</v>
      </c>
      <c r="Q54" s="1"/>
      <c r="R54" s="37">
        <f>F59+F60+F62+F63-F58</f>
        <v>1314100</v>
      </c>
    </row>
    <row r="55" spans="1:18" ht="27.75" customHeight="1" thickBot="1">
      <c r="A55" s="60" t="s">
        <v>86</v>
      </c>
      <c r="B55" s="301" t="s">
        <v>53</v>
      </c>
      <c r="C55" s="302"/>
      <c r="D55" s="303"/>
      <c r="E55" s="81"/>
      <c r="F55" s="31">
        <f>0+E55</f>
        <v>0</v>
      </c>
      <c r="G55" s="33">
        <f>G60+G62+G63+G59</f>
        <v>0</v>
      </c>
      <c r="H55" s="33"/>
      <c r="I55" s="33"/>
      <c r="J55" s="33"/>
      <c r="K55" s="33">
        <f>0+G55</f>
        <v>0</v>
      </c>
      <c r="L55" s="33">
        <f>274277.94+K55</f>
        <v>274277.94</v>
      </c>
      <c r="M55" s="34">
        <f t="shared" si="2"/>
        <v>0</v>
      </c>
      <c r="N55" s="63">
        <f t="shared" si="2"/>
        <v>-274277.94</v>
      </c>
      <c r="O55" s="64">
        <v>0</v>
      </c>
      <c r="P55" s="65">
        <v>0</v>
      </c>
      <c r="Q55" s="1"/>
      <c r="R55" s="37"/>
    </row>
    <row r="56" spans="1:18" ht="15.75" customHeight="1" thickBot="1">
      <c r="A56" s="60" t="s">
        <v>87</v>
      </c>
      <c r="B56" s="388" t="s">
        <v>88</v>
      </c>
      <c r="C56" s="389"/>
      <c r="D56" s="390"/>
      <c r="E56" s="81">
        <f>E59+E61+E63+E60+E62</f>
        <v>33000</v>
      </c>
      <c r="F56" s="31">
        <f>1281100+E56</f>
        <v>1314100</v>
      </c>
      <c r="G56" s="33"/>
      <c r="H56" s="33">
        <f>H59+H60+H62+H63</f>
        <v>0</v>
      </c>
      <c r="I56" s="33"/>
      <c r="J56" s="33"/>
      <c r="K56" s="33">
        <f>0+H56</f>
        <v>0</v>
      </c>
      <c r="L56" s="33">
        <f>1259080.72+K56</f>
        <v>1259080.72</v>
      </c>
      <c r="M56" s="34">
        <f aca="true" t="shared" si="5" ref="M56:N71">E56-K56</f>
        <v>33000</v>
      </c>
      <c r="N56" s="63">
        <f t="shared" si="5"/>
        <v>55019.28000000003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391" t="s">
        <v>55</v>
      </c>
      <c r="C57" s="392"/>
      <c r="D57" s="392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4"/>
        <v>0</v>
      </c>
      <c r="M57" s="34">
        <f t="shared" si="5"/>
        <v>0</v>
      </c>
      <c r="N57" s="63">
        <f t="shared" si="5"/>
        <v>0</v>
      </c>
      <c r="O57" s="64">
        <v>0</v>
      </c>
      <c r="P57" s="65">
        <v>0</v>
      </c>
      <c r="Q57" s="1"/>
      <c r="R57" s="37">
        <f>L59+L60+L61+L62+L63</f>
        <v>1360575.73</v>
      </c>
    </row>
    <row r="58" spans="1:18" ht="30.7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 t="shared" si="5"/>
        <v>0</v>
      </c>
      <c r="N58" s="63">
        <f t="shared" si="5"/>
        <v>-12598.5</v>
      </c>
      <c r="O58" s="64">
        <v>0</v>
      </c>
      <c r="P58" s="65">
        <v>0</v>
      </c>
      <c r="Q58" s="1"/>
      <c r="R58" s="37">
        <f>F59+F60+F62+F63</f>
        <v>1314100</v>
      </c>
    </row>
    <row r="59" spans="1:18" ht="27.75" customHeight="1" thickBot="1">
      <c r="A59" s="60" t="s">
        <v>91</v>
      </c>
      <c r="B59" s="396" t="s">
        <v>92</v>
      </c>
      <c r="C59" s="397"/>
      <c r="D59" s="398"/>
      <c r="E59" s="156">
        <v>20000</v>
      </c>
      <c r="F59" s="31">
        <f>343000+E59</f>
        <v>363000</v>
      </c>
      <c r="G59" s="74"/>
      <c r="H59" s="74"/>
      <c r="I59" s="74"/>
      <c r="J59" s="33"/>
      <c r="K59" s="33">
        <f>J59+G59+H59</f>
        <v>0</v>
      </c>
      <c r="L59" s="33">
        <f>363630.8+K59</f>
        <v>363630.8</v>
      </c>
      <c r="M59" s="34">
        <f t="shared" si="5"/>
        <v>20000</v>
      </c>
      <c r="N59" s="35">
        <f t="shared" si="5"/>
        <v>-630.7999999999884</v>
      </c>
      <c r="O59" s="64">
        <v>0</v>
      </c>
      <c r="P59" s="65">
        <v>0</v>
      </c>
      <c r="Q59" s="1"/>
      <c r="R59" s="80"/>
    </row>
    <row r="60" spans="1:18" ht="15.75" customHeight="1" thickBot="1">
      <c r="A60" s="60" t="s">
        <v>93</v>
      </c>
      <c r="B60" s="325" t="s">
        <v>94</v>
      </c>
      <c r="C60" s="326"/>
      <c r="D60" s="326"/>
      <c r="E60" s="152"/>
      <c r="F60" s="31">
        <f>830000+E60</f>
        <v>830000</v>
      </c>
      <c r="G60" s="74"/>
      <c r="H60" s="74"/>
      <c r="I60" s="74"/>
      <c r="J60" s="33"/>
      <c r="K60" s="33">
        <f>J60+G60+H60</f>
        <v>0</v>
      </c>
      <c r="L60" s="33">
        <f>940885.96+K60</f>
        <v>940885.96</v>
      </c>
      <c r="M60" s="34">
        <f t="shared" si="5"/>
        <v>0</v>
      </c>
      <c r="N60" s="63">
        <f t="shared" si="5"/>
        <v>-110885.95999999996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J61+G61+H61</f>
        <v>0</v>
      </c>
      <c r="L61" s="33">
        <f>0+K61</f>
        <v>0</v>
      </c>
      <c r="M61" s="34">
        <f t="shared" si="5"/>
        <v>0</v>
      </c>
      <c r="N61" s="63">
        <f t="shared" si="5"/>
        <v>0</v>
      </c>
      <c r="O61" s="64">
        <v>0</v>
      </c>
      <c r="P61" s="65">
        <v>0</v>
      </c>
      <c r="Q61" s="1"/>
      <c r="R61" s="1"/>
    </row>
    <row r="62" spans="1:18" ht="15.75" customHeight="1" thickBot="1">
      <c r="A62" s="60" t="s">
        <v>96</v>
      </c>
      <c r="B62" s="325" t="s">
        <v>97</v>
      </c>
      <c r="C62" s="326"/>
      <c r="D62" s="327"/>
      <c r="E62" s="152">
        <v>6900</v>
      </c>
      <c r="F62" s="31">
        <f>57000+E62</f>
        <v>63900</v>
      </c>
      <c r="G62" s="83"/>
      <c r="H62" s="74"/>
      <c r="I62" s="74"/>
      <c r="J62" s="74"/>
      <c r="K62" s="33">
        <f>J62+G62+H62</f>
        <v>0</v>
      </c>
      <c r="L62" s="33">
        <f>29944.15+K62</f>
        <v>29944.15</v>
      </c>
      <c r="M62" s="34">
        <f t="shared" si="5"/>
        <v>6900</v>
      </c>
      <c r="N62" s="63">
        <f t="shared" si="5"/>
        <v>33955.85</v>
      </c>
      <c r="O62" s="64">
        <v>0</v>
      </c>
      <c r="P62" s="65">
        <v>0</v>
      </c>
      <c r="Q62" s="1"/>
      <c r="R62" s="1"/>
    </row>
    <row r="63" spans="1:18" ht="15.75" customHeight="1" thickBot="1">
      <c r="A63" s="60" t="s">
        <v>98</v>
      </c>
      <c r="B63" s="325" t="s">
        <v>99</v>
      </c>
      <c r="C63" s="326"/>
      <c r="D63" s="327"/>
      <c r="E63" s="152">
        <v>6100</v>
      </c>
      <c r="F63" s="31">
        <f>51100+E63</f>
        <v>57200</v>
      </c>
      <c r="G63" s="85"/>
      <c r="H63" s="74"/>
      <c r="I63" s="74"/>
      <c r="J63" s="74"/>
      <c r="K63" s="33">
        <f>J63+G63+H63</f>
        <v>0</v>
      </c>
      <c r="L63" s="33">
        <f>26114.82+K63</f>
        <v>26114.82</v>
      </c>
      <c r="M63" s="34">
        <f t="shared" si="5"/>
        <v>6100</v>
      </c>
      <c r="N63" s="63">
        <f t="shared" si="5"/>
        <v>31085.18</v>
      </c>
      <c r="O63" s="64">
        <v>0</v>
      </c>
      <c r="P63" s="65">
        <v>0</v>
      </c>
      <c r="Q63" s="1"/>
      <c r="R63" s="1"/>
    </row>
    <row r="64" spans="1:18" ht="31.5" customHeight="1" thickBot="1">
      <c r="A64" s="86" t="s">
        <v>100</v>
      </c>
      <c r="B64" s="382" t="s">
        <v>101</v>
      </c>
      <c r="C64" s="383"/>
      <c r="D64" s="384"/>
      <c r="E64" s="53">
        <f>E65</f>
        <v>0</v>
      </c>
      <c r="F64" s="73">
        <f>F65+F66</f>
        <v>522900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6700</v>
      </c>
      <c r="M64" s="56">
        <f t="shared" si="5"/>
        <v>0</v>
      </c>
      <c r="N64" s="70">
        <f t="shared" si="5"/>
        <v>516200</v>
      </c>
      <c r="O64" s="58">
        <v>0</v>
      </c>
      <c r="P64" s="59">
        <v>0</v>
      </c>
      <c r="Q64" s="1"/>
      <c r="R64" s="1"/>
    </row>
    <row r="65" spans="1:18" ht="19.5" customHeight="1" thickBot="1">
      <c r="A65" s="60" t="s">
        <v>102</v>
      </c>
      <c r="B65" s="351" t="s">
        <v>53</v>
      </c>
      <c r="C65" s="352"/>
      <c r="D65" s="353"/>
      <c r="E65" s="45"/>
      <c r="F65" s="31">
        <f>522900+E65</f>
        <v>522900</v>
      </c>
      <c r="G65" s="74"/>
      <c r="H65" s="33"/>
      <c r="I65" s="33"/>
      <c r="J65" s="33"/>
      <c r="K65" s="33">
        <f>0+G65</f>
        <v>0</v>
      </c>
      <c r="L65" s="33">
        <f>6700+K65</f>
        <v>6700</v>
      </c>
      <c r="M65" s="34">
        <f t="shared" si="5"/>
        <v>0</v>
      </c>
      <c r="N65" s="35">
        <f t="shared" si="5"/>
        <v>516200</v>
      </c>
      <c r="O65" s="64">
        <v>0</v>
      </c>
      <c r="P65" s="65">
        <v>0</v>
      </c>
      <c r="Q65" s="1"/>
      <c r="R65" s="1"/>
    </row>
    <row r="66" spans="1:18" ht="21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5"/>
        <v>0</v>
      </c>
      <c r="N66" s="35">
        <f t="shared" si="5"/>
        <v>0</v>
      </c>
      <c r="O66" s="64">
        <v>0</v>
      </c>
      <c r="P66" s="65">
        <v>0</v>
      </c>
      <c r="Q66" s="1"/>
      <c r="R66" s="1"/>
    </row>
    <row r="67" spans="1:18" ht="41.2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316250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L68+L69+L70</f>
        <v>25730</v>
      </c>
      <c r="M67" s="56">
        <f t="shared" si="5"/>
        <v>0</v>
      </c>
      <c r="N67" s="70">
        <f t="shared" si="5"/>
        <v>290520</v>
      </c>
      <c r="O67" s="58">
        <v>0</v>
      </c>
      <c r="P67" s="59">
        <v>0</v>
      </c>
      <c r="Q67" s="1"/>
      <c r="R67" s="37"/>
    </row>
    <row r="68" spans="1:18" ht="14.25" customHeight="1" thickBot="1">
      <c r="A68" s="60" t="s">
        <v>107</v>
      </c>
      <c r="B68" s="319" t="s">
        <v>53</v>
      </c>
      <c r="C68" s="320"/>
      <c r="D68" s="321"/>
      <c r="E68" s="61">
        <v>0</v>
      </c>
      <c r="F68" s="31">
        <f>316250+E68</f>
        <v>316250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0</v>
      </c>
      <c r="N68" s="35">
        <f t="shared" si="5"/>
        <v>315250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301" t="s">
        <v>104</v>
      </c>
      <c r="C69" s="302"/>
      <c r="D69" s="303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 t="shared" si="5"/>
        <v>0</v>
      </c>
      <c r="N69" s="35">
        <f t="shared" si="5"/>
        <v>-24730</v>
      </c>
      <c r="O69" s="64">
        <v>0</v>
      </c>
      <c r="P69" s="65">
        <v>0</v>
      </c>
      <c r="Q69" s="1"/>
      <c r="R69" s="37"/>
    </row>
    <row r="70" spans="1:18" ht="15.7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5"/>
        <v>0</v>
      </c>
      <c r="N70" s="35">
        <f t="shared" si="5"/>
        <v>0</v>
      </c>
      <c r="O70" s="64">
        <v>0</v>
      </c>
      <c r="P70" s="65">
        <v>0</v>
      </c>
      <c r="Q70" s="1"/>
      <c r="R70" s="37"/>
    </row>
    <row r="71" spans="1:18" ht="25.5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21000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47057.34</v>
      </c>
      <c r="M71" s="56">
        <f t="shared" si="5"/>
        <v>3000</v>
      </c>
      <c r="N71" s="70">
        <f t="shared" si="5"/>
        <v>-26057.339999999997</v>
      </c>
      <c r="O71" s="58">
        <v>0</v>
      </c>
      <c r="P71" s="59">
        <v>0</v>
      </c>
      <c r="Q71" s="1"/>
      <c r="R71" s="1"/>
    </row>
    <row r="72" spans="1:18" ht="15.75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18000+E72</f>
        <v>21000</v>
      </c>
      <c r="G72" s="74"/>
      <c r="H72" s="33"/>
      <c r="I72" s="33"/>
      <c r="J72" s="33"/>
      <c r="K72" s="33">
        <f>G72</f>
        <v>0</v>
      </c>
      <c r="L72" s="33">
        <f>47057.34+K72</f>
        <v>47057.34</v>
      </c>
      <c r="M72" s="34">
        <f aca="true" t="shared" si="6" ref="M72:N82">E72-K72</f>
        <v>3000</v>
      </c>
      <c r="N72" s="35">
        <f t="shared" si="6"/>
        <v>-26057.339999999997</v>
      </c>
      <c r="O72" s="64">
        <v>0</v>
      </c>
      <c r="P72" s="65">
        <v>0</v>
      </c>
      <c r="Q72" s="1"/>
      <c r="R72" s="1"/>
    </row>
    <row r="73" spans="1:18" ht="15.7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6"/>
        <v>0</v>
      </c>
      <c r="N73" s="35">
        <f t="shared" si="6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379" t="s">
        <v>113</v>
      </c>
      <c r="C74" s="380"/>
      <c r="D74" s="381"/>
      <c r="E74" s="53">
        <f>E75</f>
        <v>0</v>
      </c>
      <c r="F74" s="73">
        <f>F75+F76</f>
        <v>122000</v>
      </c>
      <c r="G74" s="75">
        <f>G75+G76+G77</f>
        <v>0</v>
      </c>
      <c r="H74" s="55"/>
      <c r="I74" s="55">
        <f>I75+I76</f>
        <v>0</v>
      </c>
      <c r="J74" s="55"/>
      <c r="K74" s="55">
        <f>K75+K76+K77</f>
        <v>0</v>
      </c>
      <c r="L74" s="55">
        <f>L75+L76+L77</f>
        <v>31197.72</v>
      </c>
      <c r="M74" s="56">
        <f t="shared" si="6"/>
        <v>0</v>
      </c>
      <c r="N74" s="70">
        <f t="shared" si="6"/>
        <v>90802.28</v>
      </c>
      <c r="O74" s="58">
        <v>0</v>
      </c>
      <c r="P74" s="59">
        <v>0</v>
      </c>
      <c r="Q74" s="1"/>
      <c r="R74" s="1"/>
    </row>
    <row r="75" spans="1:18" ht="15.75" customHeight="1" thickBot="1">
      <c r="A75" s="60" t="s">
        <v>114</v>
      </c>
      <c r="B75" s="301" t="s">
        <v>53</v>
      </c>
      <c r="C75" s="302"/>
      <c r="D75" s="303"/>
      <c r="E75" s="61"/>
      <c r="F75" s="31">
        <f>122000+E75</f>
        <v>122000</v>
      </c>
      <c r="G75" s="74"/>
      <c r="H75" s="33"/>
      <c r="I75" s="33"/>
      <c r="J75" s="33"/>
      <c r="K75" s="33">
        <f>G75</f>
        <v>0</v>
      </c>
      <c r="L75" s="33">
        <f>28197.72+K75</f>
        <v>28197.72</v>
      </c>
      <c r="M75" s="34">
        <f>E75-K75</f>
        <v>0</v>
      </c>
      <c r="N75" s="35">
        <f t="shared" si="6"/>
        <v>93802.28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388" t="s">
        <v>104</v>
      </c>
      <c r="C76" s="389"/>
      <c r="D76" s="390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6"/>
        <v>0</v>
      </c>
      <c r="N76" s="35">
        <f t="shared" si="6"/>
        <v>-3000</v>
      </c>
      <c r="O76" s="64">
        <v>0</v>
      </c>
      <c r="P76" s="65">
        <v>0</v>
      </c>
      <c r="Q76" s="1"/>
      <c r="R76" s="1"/>
    </row>
    <row r="77" spans="1:18" ht="15.75" customHeight="1" thickBot="1">
      <c r="A77" s="60" t="s">
        <v>116</v>
      </c>
      <c r="B77" s="301" t="s">
        <v>55</v>
      </c>
      <c r="C77" s="302"/>
      <c r="D77" s="303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6"/>
        <v>0</v>
      </c>
      <c r="N77" s="35">
        <f t="shared" si="6"/>
        <v>0</v>
      </c>
      <c r="O77" s="64">
        <v>0</v>
      </c>
      <c r="P77" s="65">
        <v>0</v>
      </c>
      <c r="Q77" s="1"/>
      <c r="R77" s="1"/>
    </row>
    <row r="78" spans="1:18" ht="60.7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2500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6"/>
        <v>0</v>
      </c>
      <c r="N78" s="70">
        <f t="shared" si="6"/>
        <v>2500</v>
      </c>
      <c r="O78" s="58">
        <v>0</v>
      </c>
      <c r="P78" s="59">
        <v>0</v>
      </c>
      <c r="Q78" s="1"/>
      <c r="R78" s="1"/>
    </row>
    <row r="79" spans="1:18" ht="27.75" customHeight="1" thickBot="1">
      <c r="A79" s="60" t="s">
        <v>119</v>
      </c>
      <c r="B79" s="301" t="s">
        <v>53</v>
      </c>
      <c r="C79" s="302"/>
      <c r="D79" s="303"/>
      <c r="E79" s="81">
        <v>0</v>
      </c>
      <c r="F79" s="31">
        <f>2500+E79</f>
        <v>2500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6"/>
        <v>2500</v>
      </c>
      <c r="O79" s="64">
        <v>0</v>
      </c>
      <c r="P79" s="65">
        <v>0</v>
      </c>
      <c r="Q79" s="1"/>
      <c r="R79" s="1"/>
    </row>
    <row r="80" spans="1:18" ht="24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L81+L82</f>
        <v>15152.88</v>
      </c>
      <c r="M80" s="56">
        <f t="shared" si="6"/>
        <v>0</v>
      </c>
      <c r="N80" s="70">
        <f t="shared" si="6"/>
        <v>3347.120000000001</v>
      </c>
      <c r="O80" s="58">
        <v>0</v>
      </c>
      <c r="P80" s="59">
        <v>0</v>
      </c>
      <c r="Q80" s="1"/>
      <c r="R80" s="1"/>
    </row>
    <row r="81" spans="1:18" ht="15.75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15152.88+K81</f>
        <v>15152.88</v>
      </c>
      <c r="M81" s="34">
        <f t="shared" si="6"/>
        <v>0</v>
      </c>
      <c r="N81" s="35">
        <f t="shared" si="6"/>
        <v>3347.120000000001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388" t="s">
        <v>55</v>
      </c>
      <c r="C82" s="389"/>
      <c r="D82" s="3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6"/>
        <v>0</v>
      </c>
      <c r="O82" s="64">
        <v>0</v>
      </c>
      <c r="P82" s="65">
        <v>0</v>
      </c>
      <c r="Q82" s="1"/>
      <c r="R82" s="1"/>
    </row>
    <row r="83" spans="1:18" ht="15">
      <c r="A83" s="360"/>
      <c r="B83" s="362" t="s">
        <v>43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4"/>
      <c r="Q83" s="1"/>
      <c r="R83" s="1"/>
    </row>
    <row r="84" spans="1:18" ht="3.75" customHeight="1" thickBot="1">
      <c r="A84" s="361"/>
      <c r="B84" s="365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  <c r="Q84" s="1"/>
      <c r="R84" s="1"/>
    </row>
    <row r="85" spans="1:18" ht="15.75" customHeight="1" thickBot="1">
      <c r="A85" s="360"/>
      <c r="B85" s="368" t="s">
        <v>14</v>
      </c>
      <c r="C85" s="369"/>
      <c r="D85" s="370"/>
      <c r="E85" s="374" t="s">
        <v>24</v>
      </c>
      <c r="F85" s="376" t="s">
        <v>25</v>
      </c>
      <c r="G85" s="296" t="s">
        <v>44</v>
      </c>
      <c r="H85" s="378"/>
      <c r="I85" s="378"/>
      <c r="J85" s="378"/>
      <c r="K85" s="297"/>
      <c r="L85" s="355" t="s">
        <v>16</v>
      </c>
      <c r="M85" s="355" t="s">
        <v>17</v>
      </c>
      <c r="N85" s="355" t="s">
        <v>18</v>
      </c>
      <c r="O85" s="355" t="s">
        <v>19</v>
      </c>
      <c r="P85" s="355" t="s">
        <v>20</v>
      </c>
      <c r="Q85" s="1"/>
      <c r="R85" s="1"/>
    </row>
    <row r="86" spans="1:18" ht="94.5" customHeight="1" thickBot="1">
      <c r="A86" s="361"/>
      <c r="B86" s="371"/>
      <c r="C86" s="372"/>
      <c r="D86" s="373"/>
      <c r="E86" s="375"/>
      <c r="F86" s="377"/>
      <c r="G86" s="246" t="s">
        <v>45</v>
      </c>
      <c r="H86" s="246" t="s">
        <v>46</v>
      </c>
      <c r="I86" s="246" t="s">
        <v>47</v>
      </c>
      <c r="J86" s="7" t="s">
        <v>124</v>
      </c>
      <c r="K86" s="8" t="s">
        <v>27</v>
      </c>
      <c r="L86" s="356"/>
      <c r="M86" s="356"/>
      <c r="N86" s="356"/>
      <c r="O86" s="356"/>
      <c r="P86" s="356"/>
      <c r="Q86" s="1"/>
      <c r="R86" s="1" t="s">
        <v>210</v>
      </c>
    </row>
    <row r="87" spans="1:18" ht="15" customHeight="1" thickBot="1">
      <c r="A87" s="60"/>
      <c r="B87" s="316">
        <v>1</v>
      </c>
      <c r="C87" s="317"/>
      <c r="D87" s="318"/>
      <c r="E87" s="17" t="s">
        <v>22</v>
      </c>
      <c r="F87" s="246">
        <v>3</v>
      </c>
      <c r="G87" s="246">
        <v>4</v>
      </c>
      <c r="H87" s="246">
        <v>5</v>
      </c>
      <c r="I87" s="7">
        <v>6</v>
      </c>
      <c r="J87" s="7">
        <v>7</v>
      </c>
      <c r="K87" s="48">
        <v>8</v>
      </c>
      <c r="L87" s="243">
        <v>9</v>
      </c>
      <c r="M87" s="7">
        <v>10</v>
      </c>
      <c r="N87" s="243">
        <v>11</v>
      </c>
      <c r="O87" s="7">
        <v>12</v>
      </c>
      <c r="P87" s="243">
        <v>13</v>
      </c>
      <c r="Q87" s="1"/>
      <c r="R87" s="1"/>
    </row>
    <row r="88" spans="1:18" ht="44.25" customHeight="1" thickBot="1">
      <c r="A88" s="51" t="s">
        <v>125</v>
      </c>
      <c r="B88" s="357" t="s">
        <v>126</v>
      </c>
      <c r="C88" s="358"/>
      <c r="D88" s="359"/>
      <c r="E88" s="53">
        <f>E89</f>
        <v>34450</v>
      </c>
      <c r="F88" s="73">
        <f>F89+F90+F91+F92</f>
        <v>225150</v>
      </c>
      <c r="G88" s="53">
        <f>G89+G90+G91+G92</f>
        <v>14376.64</v>
      </c>
      <c r="H88" s="55"/>
      <c r="I88" s="55">
        <f>I89+I90+I91</f>
        <v>0</v>
      </c>
      <c r="J88" s="55">
        <f>J89+J90+J91+J92</f>
        <v>0</v>
      </c>
      <c r="K88" s="93">
        <f>K89+K90+K91+K92</f>
        <v>14376.64</v>
      </c>
      <c r="L88" s="55">
        <f>L89+L90+L91+L92</f>
        <v>158968.55000000005</v>
      </c>
      <c r="M88" s="56">
        <f aca="true" t="shared" si="7" ref="M88:N103">E88-K88</f>
        <v>20073.36</v>
      </c>
      <c r="N88" s="70">
        <f t="shared" si="7"/>
        <v>66181.44999999995</v>
      </c>
      <c r="O88" s="58">
        <v>0</v>
      </c>
      <c r="P88" s="59">
        <v>0</v>
      </c>
      <c r="Q88" s="37"/>
      <c r="R88" s="1"/>
    </row>
    <row r="89" spans="1:18" ht="15.75" customHeight="1" thickBot="1">
      <c r="A89" s="60" t="s">
        <v>127</v>
      </c>
      <c r="B89" s="301" t="s">
        <v>53</v>
      </c>
      <c r="C89" s="302"/>
      <c r="D89" s="303"/>
      <c r="E89" s="61">
        <f>E93+E94+E96+E97+E98+E100+E99+E95</f>
        <v>34450</v>
      </c>
      <c r="F89" s="31">
        <f>190700+E89</f>
        <v>225150</v>
      </c>
      <c r="G89" s="45">
        <f>G93+G94+G96+G97+G98+G99+G100</f>
        <v>14376.64</v>
      </c>
      <c r="H89" s="33"/>
      <c r="I89" s="33"/>
      <c r="J89" s="33"/>
      <c r="K89" s="94">
        <f>G89</f>
        <v>14376.64</v>
      </c>
      <c r="L89" s="33">
        <f>L93+L94+L96+L97+L98+L99+L100+L95-59.4-95.55</f>
        <v>158728.51000000004</v>
      </c>
      <c r="M89" s="34">
        <f t="shared" si="7"/>
        <v>20073.36</v>
      </c>
      <c r="N89" s="35">
        <f t="shared" si="7"/>
        <v>66421.48999999996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301" t="s">
        <v>51</v>
      </c>
      <c r="C90" s="302"/>
      <c r="D90" s="303"/>
      <c r="E90" s="61"/>
      <c r="F90" s="31"/>
      <c r="G90" s="45"/>
      <c r="H90" s="33"/>
      <c r="I90" s="33"/>
      <c r="J90" s="33"/>
      <c r="K90" s="94">
        <f aca="true" t="shared" si="8" ref="K90:K99">G90</f>
        <v>0</v>
      </c>
      <c r="L90" s="33"/>
      <c r="M90" s="34">
        <f t="shared" si="7"/>
        <v>0</v>
      </c>
      <c r="N90" s="35">
        <f t="shared" si="7"/>
        <v>0</v>
      </c>
      <c r="O90" s="64">
        <v>0</v>
      </c>
      <c r="P90" s="65">
        <v>0</v>
      </c>
      <c r="Q90" s="37"/>
      <c r="R90" s="1"/>
    </row>
    <row r="91" spans="1:18" ht="30" customHeight="1" thickBot="1">
      <c r="A91" s="60" t="s">
        <v>129</v>
      </c>
      <c r="B91" s="301" t="s">
        <v>104</v>
      </c>
      <c r="C91" s="302"/>
      <c r="D91" s="303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59.4+K91</f>
        <v>59.4</v>
      </c>
      <c r="M91" s="34">
        <f t="shared" si="7"/>
        <v>0</v>
      </c>
      <c r="N91" s="35">
        <f t="shared" si="7"/>
        <v>-59.4</v>
      </c>
      <c r="O91" s="64">
        <v>0</v>
      </c>
      <c r="P91" s="65">
        <v>0</v>
      </c>
      <c r="Q91" s="37"/>
      <c r="R91" s="1"/>
    </row>
    <row r="92" spans="1:18" ht="15.75" customHeight="1" thickBot="1">
      <c r="A92" s="60" t="s">
        <v>130</v>
      </c>
      <c r="B92" s="301" t="s">
        <v>55</v>
      </c>
      <c r="C92" s="302"/>
      <c r="D92" s="303"/>
      <c r="E92" s="61"/>
      <c r="F92" s="31"/>
      <c r="G92" s="45"/>
      <c r="H92" s="33"/>
      <c r="I92" s="33"/>
      <c r="J92" s="33">
        <f>J97</f>
        <v>0</v>
      </c>
      <c r="K92" s="94">
        <f>J92</f>
        <v>0</v>
      </c>
      <c r="L92" s="33">
        <f>180.64+K92</f>
        <v>180.64</v>
      </c>
      <c r="M92" s="34">
        <f t="shared" si="7"/>
        <v>0</v>
      </c>
      <c r="N92" s="35">
        <f t="shared" si="7"/>
        <v>-180.64</v>
      </c>
      <c r="O92" s="64">
        <v>0</v>
      </c>
      <c r="P92" s="65">
        <v>0</v>
      </c>
      <c r="Q92" s="37"/>
      <c r="R92" s="80">
        <f>L93+L94+L95+L96+L97+L98+L99+L100</f>
        <v>158883.46000000002</v>
      </c>
    </row>
    <row r="93" spans="1:18" ht="22.5" customHeight="1" thickBot="1">
      <c r="A93" s="60" t="s">
        <v>131</v>
      </c>
      <c r="B93" s="308" t="s">
        <v>132</v>
      </c>
      <c r="C93" s="309"/>
      <c r="D93" s="310"/>
      <c r="E93" s="152">
        <v>3150</v>
      </c>
      <c r="F93" s="31">
        <f>18900+E93</f>
        <v>22050</v>
      </c>
      <c r="G93" s="45"/>
      <c r="H93" s="74"/>
      <c r="I93" s="74"/>
      <c r="J93" s="74"/>
      <c r="K93" s="94">
        <f t="shared" si="8"/>
        <v>0</v>
      </c>
      <c r="L93" s="33">
        <f>18000+K93</f>
        <v>18000</v>
      </c>
      <c r="M93" s="34">
        <f t="shared" si="7"/>
        <v>3150</v>
      </c>
      <c r="N93" s="35">
        <f t="shared" si="7"/>
        <v>4050</v>
      </c>
      <c r="O93" s="64">
        <v>0</v>
      </c>
      <c r="P93" s="65">
        <v>0</v>
      </c>
      <c r="Q93" s="1"/>
      <c r="R93" s="37">
        <f>L89+L90+L91+L92</f>
        <v>158968.55000000005</v>
      </c>
    </row>
    <row r="94" spans="1:18" ht="28.5" customHeight="1" thickBot="1">
      <c r="A94" s="60" t="s">
        <v>133</v>
      </c>
      <c r="B94" s="322" t="s">
        <v>134</v>
      </c>
      <c r="C94" s="323"/>
      <c r="D94" s="324"/>
      <c r="E94" s="152">
        <v>4800</v>
      </c>
      <c r="F94" s="31">
        <f>28800+E94</f>
        <v>33600</v>
      </c>
      <c r="G94" s="45"/>
      <c r="H94" s="74"/>
      <c r="I94" s="74"/>
      <c r="J94" s="74"/>
      <c r="K94" s="94">
        <f>G94</f>
        <v>0</v>
      </c>
      <c r="L94" s="33">
        <f>9450+K94</f>
        <v>9450</v>
      </c>
      <c r="M94" s="34">
        <f t="shared" si="7"/>
        <v>4800</v>
      </c>
      <c r="N94" s="35">
        <f t="shared" si="7"/>
        <v>24150</v>
      </c>
      <c r="O94" s="64">
        <v>0</v>
      </c>
      <c r="P94" s="65">
        <v>0</v>
      </c>
      <c r="Q94" s="1"/>
      <c r="R94" s="1"/>
    </row>
    <row r="95" spans="1:18" ht="34.5" customHeight="1" thickBot="1">
      <c r="A95" s="60" t="s">
        <v>135</v>
      </c>
      <c r="B95" s="308" t="s">
        <v>136</v>
      </c>
      <c r="C95" s="309"/>
      <c r="D95" s="310"/>
      <c r="E95" s="152"/>
      <c r="F95" s="31">
        <f>0+E95</f>
        <v>0</v>
      </c>
      <c r="G95" s="45"/>
      <c r="H95" s="74"/>
      <c r="I95" s="74"/>
      <c r="J95" s="74"/>
      <c r="K95" s="94">
        <f t="shared" si="8"/>
        <v>0</v>
      </c>
      <c r="L95" s="33">
        <f>0+K95</f>
        <v>0</v>
      </c>
      <c r="M95" s="34">
        <f t="shared" si="7"/>
        <v>0</v>
      </c>
      <c r="N95" s="35">
        <f t="shared" si="7"/>
        <v>0</v>
      </c>
      <c r="O95" s="64">
        <v>0</v>
      </c>
      <c r="P95" s="65">
        <v>0</v>
      </c>
      <c r="Q95" s="1"/>
      <c r="R95" s="1"/>
    </row>
    <row r="96" spans="1:18" ht="33" customHeight="1" thickBot="1">
      <c r="A96" s="60" t="s">
        <v>137</v>
      </c>
      <c r="B96" s="308" t="s">
        <v>138</v>
      </c>
      <c r="C96" s="309"/>
      <c r="D96" s="310"/>
      <c r="E96" s="152">
        <v>1300</v>
      </c>
      <c r="F96" s="31">
        <f>7800+E96</f>
        <v>9100</v>
      </c>
      <c r="G96" s="45">
        <v>1105</v>
      </c>
      <c r="H96" s="74"/>
      <c r="I96" s="74"/>
      <c r="J96" s="74"/>
      <c r="K96" s="94">
        <f t="shared" si="8"/>
        <v>1105</v>
      </c>
      <c r="L96" s="33">
        <f>15670+K96</f>
        <v>16775</v>
      </c>
      <c r="M96" s="34">
        <f t="shared" si="7"/>
        <v>195</v>
      </c>
      <c r="N96" s="35">
        <f t="shared" si="7"/>
        <v>-7675</v>
      </c>
      <c r="O96" s="64">
        <v>0</v>
      </c>
      <c r="P96" s="65">
        <v>0</v>
      </c>
      <c r="Q96" s="1"/>
      <c r="R96" s="1"/>
    </row>
    <row r="97" spans="1:18" ht="23.25" customHeight="1" thickBot="1">
      <c r="A97" s="60" t="s">
        <v>139</v>
      </c>
      <c r="B97" s="308" t="s">
        <v>140</v>
      </c>
      <c r="C97" s="309"/>
      <c r="D97" s="310"/>
      <c r="E97" s="152">
        <v>5000</v>
      </c>
      <c r="F97" s="31">
        <f>42000+E97</f>
        <v>47000</v>
      </c>
      <c r="G97" s="45">
        <v>5412.91</v>
      </c>
      <c r="H97" s="74"/>
      <c r="I97" s="74"/>
      <c r="J97" s="74"/>
      <c r="K97" s="94">
        <f>G97+I97</f>
        <v>5412.91</v>
      </c>
      <c r="L97" s="33">
        <f>38047.17+K97</f>
        <v>43460.08</v>
      </c>
      <c r="M97" s="34">
        <f t="shared" si="7"/>
        <v>-412.90999999999985</v>
      </c>
      <c r="N97" s="35">
        <f t="shared" si="7"/>
        <v>3539.9199999999983</v>
      </c>
      <c r="O97" s="64">
        <v>0</v>
      </c>
      <c r="P97" s="65">
        <v>0</v>
      </c>
      <c r="Q97" s="1"/>
      <c r="R97" s="71">
        <f>F93+F94+F95+F96+F97+F98+F99+F100</f>
        <v>225150</v>
      </c>
    </row>
    <row r="98" spans="1:16" ht="36" customHeight="1" thickBot="1">
      <c r="A98" s="60" t="s">
        <v>141</v>
      </c>
      <c r="B98" s="463" t="s">
        <v>142</v>
      </c>
      <c r="C98" s="464"/>
      <c r="D98" s="465"/>
      <c r="E98" s="152">
        <v>3300</v>
      </c>
      <c r="F98" s="31">
        <f>19800+E98</f>
        <v>23100</v>
      </c>
      <c r="G98" s="45">
        <v>1500</v>
      </c>
      <c r="H98" s="74"/>
      <c r="I98" s="74"/>
      <c r="J98" s="74"/>
      <c r="K98" s="94">
        <f t="shared" si="8"/>
        <v>1500</v>
      </c>
      <c r="L98" s="33">
        <f>10000+K98</f>
        <v>11500</v>
      </c>
      <c r="M98" s="34">
        <f t="shared" si="7"/>
        <v>1800</v>
      </c>
      <c r="N98" s="35">
        <f t="shared" si="7"/>
        <v>11600</v>
      </c>
      <c r="O98" s="64">
        <v>0</v>
      </c>
      <c r="P98" s="65">
        <v>0</v>
      </c>
    </row>
    <row r="99" spans="1:16" ht="35.25" customHeight="1" thickBot="1">
      <c r="A99" s="60" t="s">
        <v>143</v>
      </c>
      <c r="B99" s="308" t="s">
        <v>144</v>
      </c>
      <c r="C99" s="309"/>
      <c r="D99" s="310"/>
      <c r="E99" s="152">
        <v>7000</v>
      </c>
      <c r="F99" s="31">
        <f>14000+E99</f>
        <v>21000</v>
      </c>
      <c r="G99" s="45"/>
      <c r="H99" s="74"/>
      <c r="I99" s="74"/>
      <c r="J99" s="74"/>
      <c r="K99" s="94">
        <f t="shared" si="8"/>
        <v>0</v>
      </c>
      <c r="L99" s="33">
        <f>21546+K99</f>
        <v>21546</v>
      </c>
      <c r="M99" s="34">
        <f t="shared" si="7"/>
        <v>7000</v>
      </c>
      <c r="N99" s="35">
        <f t="shared" si="7"/>
        <v>-546</v>
      </c>
      <c r="O99" s="64">
        <v>0</v>
      </c>
      <c r="P99" s="65">
        <v>0</v>
      </c>
    </row>
    <row r="100" spans="1:16" ht="25.5" customHeight="1" thickBot="1">
      <c r="A100" s="60" t="s">
        <v>145</v>
      </c>
      <c r="B100" s="308" t="s">
        <v>146</v>
      </c>
      <c r="C100" s="309"/>
      <c r="D100" s="310"/>
      <c r="E100" s="152">
        <v>9900</v>
      </c>
      <c r="F100" s="31">
        <f>59400+E100</f>
        <v>69300</v>
      </c>
      <c r="G100" s="45">
        <v>6358.73</v>
      </c>
      <c r="H100" s="74"/>
      <c r="I100" s="74"/>
      <c r="J100" s="74"/>
      <c r="K100" s="94">
        <f>G100</f>
        <v>6358.73</v>
      </c>
      <c r="L100" s="33">
        <f>31793.65+K100</f>
        <v>38152.380000000005</v>
      </c>
      <c r="M100" s="34">
        <f t="shared" si="7"/>
        <v>3541.2700000000004</v>
      </c>
      <c r="N100" s="35">
        <f t="shared" si="7"/>
        <v>31147.619999999995</v>
      </c>
      <c r="O100" s="64">
        <v>0</v>
      </c>
      <c r="P100" s="65">
        <v>0</v>
      </c>
    </row>
    <row r="101" spans="1:18" ht="41.25" customHeight="1" thickBot="1">
      <c r="A101" s="86" t="s">
        <v>147</v>
      </c>
      <c r="B101" s="354" t="s">
        <v>148</v>
      </c>
      <c r="C101" s="306"/>
      <c r="D101" s="307"/>
      <c r="E101" s="73">
        <f>E102+E103</f>
        <v>80000</v>
      </c>
      <c r="F101" s="73">
        <f>F102+F103+F104+F105</f>
        <v>1284250</v>
      </c>
      <c r="G101" s="73">
        <f>G102+G104+G105</f>
        <v>5700</v>
      </c>
      <c r="H101" s="75">
        <f>H103</f>
        <v>0</v>
      </c>
      <c r="I101" s="55">
        <f>I104</f>
        <v>0</v>
      </c>
      <c r="J101" s="55"/>
      <c r="K101" s="73">
        <f>G101+H101+I101+J101</f>
        <v>5700</v>
      </c>
      <c r="L101" s="55">
        <f>L102+L103+L104+L105</f>
        <v>532656.23</v>
      </c>
      <c r="M101" s="56">
        <f t="shared" si="7"/>
        <v>74300</v>
      </c>
      <c r="N101" s="70">
        <f t="shared" si="7"/>
        <v>751593.77</v>
      </c>
      <c r="O101" s="58">
        <v>0</v>
      </c>
      <c r="P101" s="59">
        <v>0</v>
      </c>
      <c r="R101" s="95">
        <f>L102+L104-L101</f>
        <v>-399.5200000000186</v>
      </c>
    </row>
    <row r="102" spans="1:18" ht="28.5" customHeight="1" thickBot="1">
      <c r="A102" s="60" t="s">
        <v>149</v>
      </c>
      <c r="B102" s="301" t="s">
        <v>53</v>
      </c>
      <c r="C102" s="302"/>
      <c r="D102" s="303"/>
      <c r="E102" s="61">
        <f>E106+E107+E114+E119+E131+E113+E128+E115+E120+E132+E116</f>
        <v>80000</v>
      </c>
      <c r="F102" s="31">
        <f>1204250+E102</f>
        <v>1284250</v>
      </c>
      <c r="G102" s="74">
        <f>G113+G114+G118+G120+G128+G119+G130+G131+G132+G116</f>
        <v>5700</v>
      </c>
      <c r="H102" s="74"/>
      <c r="I102" s="33"/>
      <c r="J102" s="33"/>
      <c r="K102" s="94">
        <f>G102</f>
        <v>5700</v>
      </c>
      <c r="L102" s="33">
        <f>526556.71+K102</f>
        <v>532256.71</v>
      </c>
      <c r="M102" s="34">
        <f t="shared" si="7"/>
        <v>74300</v>
      </c>
      <c r="N102" s="35">
        <f t="shared" si="7"/>
        <v>751993.29</v>
      </c>
      <c r="O102" s="64">
        <v>0</v>
      </c>
      <c r="P102" s="65">
        <v>0</v>
      </c>
      <c r="R102" s="95"/>
    </row>
    <row r="103" spans="1:18" ht="19.5" customHeight="1" thickBot="1">
      <c r="A103" s="60" t="s">
        <v>150</v>
      </c>
      <c r="B103" s="301" t="s">
        <v>51</v>
      </c>
      <c r="C103" s="302"/>
      <c r="D103" s="303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7"/>
        <v>0</v>
      </c>
      <c r="N103" s="35">
        <f t="shared" si="7"/>
        <v>0</v>
      </c>
      <c r="O103" s="64">
        <v>0</v>
      </c>
      <c r="P103" s="65">
        <v>0</v>
      </c>
      <c r="R103" s="96"/>
    </row>
    <row r="104" spans="1:16" ht="29.25" customHeight="1" thickBot="1">
      <c r="A104" s="60" t="s">
        <v>151</v>
      </c>
      <c r="B104" s="301" t="s">
        <v>104</v>
      </c>
      <c r="C104" s="302"/>
      <c r="D104" s="303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9" ref="M104:N120">E104-K104</f>
        <v>0</v>
      </c>
      <c r="N104" s="35">
        <f t="shared" si="9"/>
        <v>0</v>
      </c>
      <c r="O104" s="64">
        <v>0</v>
      </c>
      <c r="P104" s="65">
        <v>0</v>
      </c>
    </row>
    <row r="105" spans="1:18" ht="24" customHeight="1" thickBot="1">
      <c r="A105" s="60" t="s">
        <v>152</v>
      </c>
      <c r="B105" s="351" t="s">
        <v>55</v>
      </c>
      <c r="C105" s="352"/>
      <c r="D105" s="353"/>
      <c r="E105" s="61"/>
      <c r="F105" s="31"/>
      <c r="G105" s="74"/>
      <c r="H105" s="74"/>
      <c r="I105" s="33"/>
      <c r="J105" s="33"/>
      <c r="K105" s="94">
        <f>G105</f>
        <v>0</v>
      </c>
      <c r="L105" s="33">
        <f>399.52+K105</f>
        <v>399.52</v>
      </c>
      <c r="M105" s="34">
        <f t="shared" si="9"/>
        <v>0</v>
      </c>
      <c r="N105" s="35">
        <f t="shared" si="9"/>
        <v>-399.52</v>
      </c>
      <c r="O105" s="64">
        <v>0</v>
      </c>
      <c r="P105" s="65">
        <v>0</v>
      </c>
      <c r="R105" s="95">
        <f>L106+L113+L114+L118+L119+L131+L111+L120+L128+L130+L132</f>
        <v>523887.43</v>
      </c>
    </row>
    <row r="106" spans="1:16" ht="33" customHeight="1" thickBot="1">
      <c r="A106" s="60" t="s">
        <v>153</v>
      </c>
      <c r="B106" s="311" t="s">
        <v>154</v>
      </c>
      <c r="C106" s="312"/>
      <c r="D106" s="313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0" ref="K106:K120">G106</f>
        <v>0</v>
      </c>
      <c r="L106" s="33">
        <f>18100+K106</f>
        <v>18100</v>
      </c>
      <c r="M106" s="34">
        <f t="shared" si="9"/>
        <v>0</v>
      </c>
      <c r="N106" s="35">
        <f t="shared" si="9"/>
        <v>21900</v>
      </c>
      <c r="O106" s="64">
        <v>0</v>
      </c>
      <c r="P106" s="65">
        <v>0</v>
      </c>
    </row>
    <row r="107" spans="1:16" ht="30.75" customHeight="1" thickBot="1">
      <c r="A107" s="60" t="s">
        <v>155</v>
      </c>
      <c r="B107" s="308" t="s">
        <v>156</v>
      </c>
      <c r="C107" s="309"/>
      <c r="D107" s="310"/>
      <c r="E107" s="31"/>
      <c r="F107" s="31">
        <f>16200+E107</f>
        <v>16200</v>
      </c>
      <c r="G107" s="74"/>
      <c r="H107" s="74"/>
      <c r="I107" s="74"/>
      <c r="J107" s="74"/>
      <c r="K107" s="94">
        <f t="shared" si="10"/>
        <v>0</v>
      </c>
      <c r="L107" s="33">
        <f>0+K107</f>
        <v>0</v>
      </c>
      <c r="M107" s="34">
        <f t="shared" si="9"/>
        <v>0</v>
      </c>
      <c r="N107" s="35">
        <f t="shared" si="9"/>
        <v>16200</v>
      </c>
      <c r="O107" s="64">
        <v>0</v>
      </c>
      <c r="P107" s="65">
        <v>0</v>
      </c>
    </row>
    <row r="108" spans="1:16" ht="28.5" customHeight="1" thickBot="1">
      <c r="A108" s="60" t="s">
        <v>157</v>
      </c>
      <c r="B108" s="348" t="s">
        <v>158</v>
      </c>
      <c r="C108" s="349"/>
      <c r="D108" s="350"/>
      <c r="E108" s="31"/>
      <c r="F108" s="31"/>
      <c r="G108" s="74"/>
      <c r="H108" s="74"/>
      <c r="I108" s="74"/>
      <c r="J108" s="74"/>
      <c r="K108" s="94">
        <f t="shared" si="10"/>
        <v>0</v>
      </c>
      <c r="L108" s="33">
        <f>0+K108</f>
        <v>0</v>
      </c>
      <c r="M108" s="34">
        <f t="shared" si="9"/>
        <v>0</v>
      </c>
      <c r="N108" s="35">
        <f t="shared" si="9"/>
        <v>0</v>
      </c>
      <c r="O108" s="64">
        <v>0</v>
      </c>
      <c r="P108" s="65">
        <v>0</v>
      </c>
    </row>
    <row r="109" spans="1:16" ht="19.5" customHeight="1" thickBot="1">
      <c r="A109" s="60" t="s">
        <v>159</v>
      </c>
      <c r="B109" s="308" t="s">
        <v>160</v>
      </c>
      <c r="C109" s="309"/>
      <c r="D109" s="310"/>
      <c r="E109" s="31"/>
      <c r="F109" s="31"/>
      <c r="G109" s="74"/>
      <c r="H109" s="74"/>
      <c r="I109" s="74"/>
      <c r="J109" s="74"/>
      <c r="K109" s="94">
        <f t="shared" si="10"/>
        <v>0</v>
      </c>
      <c r="L109" s="33">
        <f>0+K109</f>
        <v>0</v>
      </c>
      <c r="M109" s="34">
        <f t="shared" si="9"/>
        <v>0</v>
      </c>
      <c r="N109" s="35">
        <f t="shared" si="9"/>
        <v>0</v>
      </c>
      <c r="O109" s="64">
        <v>0</v>
      </c>
      <c r="P109" s="65">
        <v>0</v>
      </c>
    </row>
    <row r="110" spans="1:18" ht="34.5" customHeight="1" thickBot="1">
      <c r="A110" s="60" t="s">
        <v>161</v>
      </c>
      <c r="B110" s="308" t="s">
        <v>162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0"/>
        <v>0</v>
      </c>
      <c r="L110" s="33">
        <f>0+K110</f>
        <v>0</v>
      </c>
      <c r="M110" s="34">
        <f t="shared" si="9"/>
        <v>0</v>
      </c>
      <c r="N110" s="35">
        <f t="shared" si="9"/>
        <v>0</v>
      </c>
      <c r="O110" s="64">
        <v>0</v>
      </c>
      <c r="P110" s="65">
        <v>0</v>
      </c>
      <c r="R110" s="96"/>
    </row>
    <row r="111" spans="1:16" ht="31.5" customHeight="1" thickBot="1">
      <c r="A111" s="60" t="s">
        <v>163</v>
      </c>
      <c r="B111" s="348" t="s">
        <v>164</v>
      </c>
      <c r="C111" s="349"/>
      <c r="D111" s="350"/>
      <c r="E111" s="31"/>
      <c r="F111" s="31"/>
      <c r="G111" s="74"/>
      <c r="H111" s="74"/>
      <c r="I111" s="74"/>
      <c r="J111" s="74"/>
      <c r="K111" s="94">
        <f t="shared" si="10"/>
        <v>0</v>
      </c>
      <c r="L111" s="33">
        <f>7200+K111</f>
        <v>7200</v>
      </c>
      <c r="M111" s="34">
        <f t="shared" si="9"/>
        <v>0</v>
      </c>
      <c r="N111" s="35">
        <f t="shared" si="9"/>
        <v>-7200</v>
      </c>
      <c r="O111" s="64">
        <v>0</v>
      </c>
      <c r="P111" s="65">
        <v>0</v>
      </c>
    </row>
    <row r="112" spans="1:16" ht="36" customHeight="1" thickBot="1">
      <c r="A112" s="60" t="s">
        <v>165</v>
      </c>
      <c r="B112" s="308" t="s">
        <v>166</v>
      </c>
      <c r="C112" s="309"/>
      <c r="D112" s="310"/>
      <c r="E112" s="31"/>
      <c r="F112" s="31"/>
      <c r="G112" s="74"/>
      <c r="H112" s="74"/>
      <c r="I112" s="74"/>
      <c r="J112" s="74"/>
      <c r="K112" s="94">
        <f t="shared" si="10"/>
        <v>0</v>
      </c>
      <c r="L112" s="33">
        <f>0+K112</f>
        <v>0</v>
      </c>
      <c r="M112" s="34">
        <f t="shared" si="9"/>
        <v>0</v>
      </c>
      <c r="N112" s="35">
        <f t="shared" si="9"/>
        <v>0</v>
      </c>
      <c r="O112" s="64">
        <v>0</v>
      </c>
      <c r="P112" s="65">
        <v>0</v>
      </c>
    </row>
    <row r="113" spans="1:18" ht="21" customHeight="1" thickBot="1">
      <c r="A113" s="60" t="s">
        <v>167</v>
      </c>
      <c r="B113" s="308" t="s">
        <v>168</v>
      </c>
      <c r="C113" s="309"/>
      <c r="D113" s="310"/>
      <c r="E113" s="31"/>
      <c r="F113" s="31"/>
      <c r="G113" s="74"/>
      <c r="H113" s="74"/>
      <c r="I113" s="74"/>
      <c r="J113" s="74"/>
      <c r="K113" s="94">
        <f t="shared" si="10"/>
        <v>0</v>
      </c>
      <c r="L113" s="33">
        <f>41460.6+K113</f>
        <v>41460.6</v>
      </c>
      <c r="M113" s="34">
        <f t="shared" si="9"/>
        <v>0</v>
      </c>
      <c r="N113" s="35">
        <f t="shared" si="9"/>
        <v>-41460.6</v>
      </c>
      <c r="O113" s="64">
        <v>0</v>
      </c>
      <c r="P113" s="65">
        <v>0</v>
      </c>
      <c r="R113" s="95"/>
    </row>
    <row r="114" spans="1:16" ht="43.5" customHeight="1" thickBot="1">
      <c r="A114" s="60" t="s">
        <v>169</v>
      </c>
      <c r="B114" s="308" t="s">
        <v>170</v>
      </c>
      <c r="C114" s="309"/>
      <c r="D114" s="310"/>
      <c r="E114" s="31"/>
      <c r="F114" s="31">
        <f>18000+E114</f>
        <v>18000</v>
      </c>
      <c r="G114" s="74"/>
      <c r="H114" s="74"/>
      <c r="I114" s="74"/>
      <c r="J114" s="74"/>
      <c r="K114" s="94">
        <f t="shared" si="10"/>
        <v>0</v>
      </c>
      <c r="L114" s="33">
        <f>8035.3+K114</f>
        <v>8035.3</v>
      </c>
      <c r="M114" s="34">
        <f>E114-K114</f>
        <v>0</v>
      </c>
      <c r="N114" s="35">
        <f t="shared" si="9"/>
        <v>9964.7</v>
      </c>
      <c r="O114" s="64">
        <v>0</v>
      </c>
      <c r="P114" s="65">
        <v>0</v>
      </c>
    </row>
    <row r="115" spans="1:16" ht="37.5" customHeight="1" thickBot="1">
      <c r="A115" s="60" t="s">
        <v>171</v>
      </c>
      <c r="B115" s="308" t="s">
        <v>172</v>
      </c>
      <c r="C115" s="309"/>
      <c r="D115" s="310"/>
      <c r="E115" s="31">
        <v>80000</v>
      </c>
      <c r="F115" s="31">
        <f>86000+E115</f>
        <v>166000</v>
      </c>
      <c r="G115" s="74"/>
      <c r="H115" s="74"/>
      <c r="I115" s="74"/>
      <c r="J115" s="74"/>
      <c r="K115" s="94">
        <f t="shared" si="10"/>
        <v>0</v>
      </c>
      <c r="L115" s="33">
        <f>0+K115</f>
        <v>0</v>
      </c>
      <c r="M115" s="34">
        <f t="shared" si="9"/>
        <v>80000</v>
      </c>
      <c r="N115" s="35">
        <f t="shared" si="9"/>
        <v>166000</v>
      </c>
      <c r="O115" s="64">
        <v>0</v>
      </c>
      <c r="P115" s="65">
        <v>0</v>
      </c>
    </row>
    <row r="116" spans="1:16" ht="39.75" customHeight="1" thickBot="1">
      <c r="A116" s="60" t="s">
        <v>173</v>
      </c>
      <c r="B116" s="308" t="s">
        <v>244</v>
      </c>
      <c r="C116" s="309"/>
      <c r="D116" s="310"/>
      <c r="E116" s="31"/>
      <c r="F116" s="31">
        <f>35000+E116</f>
        <v>35000</v>
      </c>
      <c r="G116" s="74">
        <v>5500</v>
      </c>
      <c r="H116" s="74"/>
      <c r="I116" s="74"/>
      <c r="J116" s="74"/>
      <c r="K116" s="94">
        <f t="shared" si="10"/>
        <v>5500</v>
      </c>
      <c r="L116" s="33">
        <f>0+K116</f>
        <v>5500</v>
      </c>
      <c r="M116" s="34">
        <f t="shared" si="9"/>
        <v>-5500</v>
      </c>
      <c r="N116" s="35">
        <f t="shared" si="9"/>
        <v>29500</v>
      </c>
      <c r="O116" s="64">
        <v>0</v>
      </c>
      <c r="P116" s="65">
        <v>0</v>
      </c>
    </row>
    <row r="117" spans="1:16" ht="45.75" customHeight="1" thickBot="1">
      <c r="A117" s="60"/>
      <c r="B117" s="308" t="s">
        <v>175</v>
      </c>
      <c r="C117" s="309"/>
      <c r="D117" s="310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9"/>
        <v>0</v>
      </c>
      <c r="N117" s="35">
        <f t="shared" si="9"/>
        <v>0</v>
      </c>
      <c r="O117" s="64">
        <v>0</v>
      </c>
      <c r="P117" s="65">
        <v>0</v>
      </c>
    </row>
    <row r="118" spans="1:16" ht="33" customHeight="1" thickBot="1">
      <c r="A118" s="60" t="s">
        <v>176</v>
      </c>
      <c r="B118" s="308" t="s">
        <v>177</v>
      </c>
      <c r="C118" s="309"/>
      <c r="D118" s="310"/>
      <c r="E118" s="31"/>
      <c r="F118" s="31"/>
      <c r="G118" s="74"/>
      <c r="H118" s="74"/>
      <c r="I118" s="74"/>
      <c r="J118" s="74"/>
      <c r="K118" s="94">
        <f>G118</f>
        <v>0</v>
      </c>
      <c r="L118" s="33">
        <f>6582.53+K118</f>
        <v>6582.53</v>
      </c>
      <c r="M118" s="34">
        <f t="shared" si="9"/>
        <v>0</v>
      </c>
      <c r="N118" s="35">
        <f t="shared" si="9"/>
        <v>-6582.53</v>
      </c>
      <c r="O118" s="64">
        <v>0</v>
      </c>
      <c r="P118" s="65">
        <v>0</v>
      </c>
    </row>
    <row r="119" spans="1:18" ht="48.75" customHeight="1" thickBot="1">
      <c r="A119" s="60" t="s">
        <v>178</v>
      </c>
      <c r="B119" s="345" t="s">
        <v>179</v>
      </c>
      <c r="C119" s="346"/>
      <c r="D119" s="347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9"/>
        <v>0</v>
      </c>
      <c r="N119" s="35">
        <f t="shared" si="9"/>
        <v>0</v>
      </c>
      <c r="O119" s="64">
        <v>0</v>
      </c>
      <c r="P119" s="65">
        <v>0</v>
      </c>
      <c r="R119" s="96">
        <f>F131+F129+F128+F119+F115+F114+F113+F107+F106</f>
        <v>865200</v>
      </c>
    </row>
    <row r="120" spans="1:16" ht="40.5" customHeight="1" thickBot="1">
      <c r="A120" s="97" t="s">
        <v>180</v>
      </c>
      <c r="B120" s="308" t="s">
        <v>181</v>
      </c>
      <c r="C120" s="309"/>
      <c r="D120" s="310"/>
      <c r="E120" s="31"/>
      <c r="F120" s="31">
        <f>9400+E120</f>
        <v>9400</v>
      </c>
      <c r="G120" s="74">
        <v>200</v>
      </c>
      <c r="H120" s="74"/>
      <c r="I120" s="74"/>
      <c r="J120" s="74"/>
      <c r="K120" s="94">
        <f t="shared" si="10"/>
        <v>200</v>
      </c>
      <c r="L120" s="33">
        <f>9050+K120</f>
        <v>9250</v>
      </c>
      <c r="M120" s="34">
        <f t="shared" si="9"/>
        <v>-200</v>
      </c>
      <c r="N120" s="35">
        <f t="shared" si="9"/>
        <v>150</v>
      </c>
      <c r="O120" s="64">
        <v>0</v>
      </c>
      <c r="P120" s="65">
        <v>0</v>
      </c>
    </row>
    <row r="121" spans="1:16" ht="15">
      <c r="A121" s="98"/>
      <c r="B121" s="328" t="s">
        <v>43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9"/>
    </row>
    <row r="122" spans="1:16" ht="7.5" customHeight="1" thickBot="1">
      <c r="A122" s="99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1"/>
    </row>
    <row r="123" spans="1:16" ht="15.75" customHeight="1" thickBot="1">
      <c r="A123" s="100"/>
      <c r="B123" s="332" t="s">
        <v>14</v>
      </c>
      <c r="C123" s="333"/>
      <c r="D123" s="334"/>
      <c r="E123" s="338" t="s">
        <v>24</v>
      </c>
      <c r="F123" s="340" t="s">
        <v>25</v>
      </c>
      <c r="G123" s="342" t="s">
        <v>44</v>
      </c>
      <c r="H123" s="343"/>
      <c r="I123" s="343"/>
      <c r="J123" s="343"/>
      <c r="K123" s="344"/>
      <c r="L123" s="314" t="s">
        <v>16</v>
      </c>
      <c r="M123" s="314" t="s">
        <v>17</v>
      </c>
      <c r="N123" s="314" t="s">
        <v>18</v>
      </c>
      <c r="O123" s="314" t="s">
        <v>19</v>
      </c>
      <c r="P123" s="314" t="s">
        <v>20</v>
      </c>
    </row>
    <row r="124" spans="1:16" ht="77.25" customHeight="1" thickBot="1">
      <c r="A124" s="249"/>
      <c r="B124" s="335"/>
      <c r="C124" s="336"/>
      <c r="D124" s="337"/>
      <c r="E124" s="339"/>
      <c r="F124" s="341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315"/>
      <c r="M124" s="315"/>
      <c r="N124" s="315"/>
      <c r="O124" s="315"/>
      <c r="P124" s="315"/>
    </row>
    <row r="125" spans="1:16" ht="15.75" thickBot="1">
      <c r="A125" s="105"/>
      <c r="B125" s="316">
        <v>1</v>
      </c>
      <c r="C125" s="317"/>
      <c r="D125" s="318"/>
      <c r="E125" s="17" t="s">
        <v>22</v>
      </c>
      <c r="F125" s="246">
        <v>3</v>
      </c>
      <c r="G125" s="246">
        <v>4</v>
      </c>
      <c r="H125" s="246">
        <v>5</v>
      </c>
      <c r="I125" s="7">
        <v>6</v>
      </c>
      <c r="J125" s="7">
        <v>7</v>
      </c>
      <c r="K125" s="48">
        <v>8</v>
      </c>
      <c r="L125" s="243">
        <v>9</v>
      </c>
      <c r="M125" s="7">
        <v>10</v>
      </c>
      <c r="N125" s="243">
        <v>11</v>
      </c>
      <c r="O125" s="7">
        <v>12</v>
      </c>
      <c r="P125" s="243">
        <v>13</v>
      </c>
    </row>
    <row r="126" spans="1:16" ht="45" customHeight="1" thickBot="1">
      <c r="A126" s="106" t="s">
        <v>182</v>
      </c>
      <c r="B126" s="388" t="s">
        <v>183</v>
      </c>
      <c r="C126" s="389"/>
      <c r="D126" s="390"/>
      <c r="E126" s="31"/>
      <c r="F126" s="31"/>
      <c r="G126" s="74"/>
      <c r="H126" s="74"/>
      <c r="I126" s="74"/>
      <c r="J126" s="74"/>
      <c r="K126" s="94">
        <f aca="true" t="shared" si="11" ref="K126:K141">G126</f>
        <v>0</v>
      </c>
      <c r="L126" s="33">
        <f>0+K126</f>
        <v>0</v>
      </c>
      <c r="M126" s="34">
        <f aca="true" t="shared" si="12" ref="M126:N142">E126-K126</f>
        <v>0</v>
      </c>
      <c r="N126" s="35">
        <f t="shared" si="12"/>
        <v>0</v>
      </c>
      <c r="O126" s="64">
        <v>0</v>
      </c>
      <c r="P126" s="65">
        <v>0</v>
      </c>
    </row>
    <row r="127" spans="1:16" ht="47.25" customHeight="1" thickBot="1">
      <c r="A127" s="107" t="s">
        <v>184</v>
      </c>
      <c r="B127" s="325" t="s">
        <v>185</v>
      </c>
      <c r="C127" s="326"/>
      <c r="D127" s="327"/>
      <c r="E127" s="31"/>
      <c r="F127" s="31"/>
      <c r="G127" s="74"/>
      <c r="H127" s="74"/>
      <c r="I127" s="74"/>
      <c r="J127" s="74"/>
      <c r="K127" s="94">
        <f t="shared" si="11"/>
        <v>0</v>
      </c>
      <c r="L127" s="33">
        <f>0+K127</f>
        <v>0</v>
      </c>
      <c r="M127" s="34">
        <f t="shared" si="12"/>
        <v>0</v>
      </c>
      <c r="N127" s="35">
        <f t="shared" si="12"/>
        <v>0</v>
      </c>
      <c r="O127" s="64">
        <v>0</v>
      </c>
      <c r="P127" s="65">
        <v>0</v>
      </c>
    </row>
    <row r="128" spans="1:16" ht="49.5" customHeight="1" thickBot="1">
      <c r="A128" s="108" t="s">
        <v>186</v>
      </c>
      <c r="B128" s="325" t="s">
        <v>187</v>
      </c>
      <c r="C128" s="326"/>
      <c r="D128" s="327"/>
      <c r="E128" s="31"/>
      <c r="F128" s="31">
        <f>400000+E128</f>
        <v>400000</v>
      </c>
      <c r="G128" s="74"/>
      <c r="H128" s="74"/>
      <c r="I128" s="74"/>
      <c r="J128" s="74"/>
      <c r="K128" s="94">
        <f>I128+G128</f>
        <v>0</v>
      </c>
      <c r="L128" s="33">
        <f>421216+K128</f>
        <v>421216</v>
      </c>
      <c r="M128" s="34">
        <f t="shared" si="12"/>
        <v>0</v>
      </c>
      <c r="N128" s="35">
        <f t="shared" si="12"/>
        <v>-21216</v>
      </c>
      <c r="O128" s="64">
        <v>0</v>
      </c>
      <c r="P128" s="65">
        <v>0</v>
      </c>
    </row>
    <row r="129" spans="1:16" ht="51" customHeight="1" thickBot="1">
      <c r="A129" s="108" t="s">
        <v>188</v>
      </c>
      <c r="B129" s="325" t="s">
        <v>189</v>
      </c>
      <c r="C129" s="326"/>
      <c r="D129" s="327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2"/>
        <v>0</v>
      </c>
      <c r="N129" s="35">
        <f t="shared" si="12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325" t="s">
        <v>191</v>
      </c>
      <c r="C130" s="326"/>
      <c r="D130" s="327"/>
      <c r="E130" s="31"/>
      <c r="F130" s="31"/>
      <c r="G130" s="74"/>
      <c r="H130" s="74"/>
      <c r="I130" s="74"/>
      <c r="J130" s="74"/>
      <c r="K130" s="94">
        <f>G130</f>
        <v>0</v>
      </c>
      <c r="L130" s="33">
        <f>3980+K130</f>
        <v>3980</v>
      </c>
      <c r="M130" s="34">
        <f t="shared" si="12"/>
        <v>0</v>
      </c>
      <c r="N130" s="35">
        <f t="shared" si="12"/>
        <v>-3980</v>
      </c>
      <c r="O130" s="64">
        <v>0</v>
      </c>
      <c r="P130" s="65">
        <v>0</v>
      </c>
    </row>
    <row r="131" spans="1:16" ht="48" customHeight="1" thickBot="1">
      <c r="A131" s="109" t="s">
        <v>192</v>
      </c>
      <c r="B131" s="460" t="s">
        <v>193</v>
      </c>
      <c r="C131" s="461"/>
      <c r="D131" s="462"/>
      <c r="E131" s="31"/>
      <c r="F131" s="31">
        <f>225000+E131</f>
        <v>225000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2"/>
        <v>0</v>
      </c>
      <c r="N131" s="35">
        <f t="shared" si="12"/>
        <v>225000</v>
      </c>
      <c r="O131" s="64">
        <v>0</v>
      </c>
      <c r="P131" s="65">
        <v>0</v>
      </c>
    </row>
    <row r="132" spans="1:16" ht="24.75" customHeight="1" thickBot="1">
      <c r="A132" s="109" t="s">
        <v>213</v>
      </c>
      <c r="B132" s="460" t="s">
        <v>232</v>
      </c>
      <c r="C132" s="461"/>
      <c r="D132" s="462"/>
      <c r="E132" s="31"/>
      <c r="F132" s="31">
        <f>13650+E132</f>
        <v>13650</v>
      </c>
      <c r="G132" s="74"/>
      <c r="H132" s="74"/>
      <c r="I132" s="74"/>
      <c r="J132" s="74"/>
      <c r="K132" s="94">
        <f>G132+I132</f>
        <v>0</v>
      </c>
      <c r="L132" s="33">
        <f>8063+K132</f>
        <v>8063</v>
      </c>
      <c r="M132" s="34">
        <f t="shared" si="12"/>
        <v>0</v>
      </c>
      <c r="N132" s="35">
        <f t="shared" si="12"/>
        <v>5587</v>
      </c>
      <c r="O132" s="64">
        <v>0</v>
      </c>
      <c r="P132" s="65">
        <v>0</v>
      </c>
    </row>
    <row r="133" spans="1:19" ht="36.75" customHeight="1" thickBot="1">
      <c r="A133" s="110">
        <v>15</v>
      </c>
      <c r="B133" s="304" t="s">
        <v>194</v>
      </c>
      <c r="C133" s="304"/>
      <c r="D133" s="305"/>
      <c r="E133" s="73">
        <f>E134+E135</f>
        <v>0</v>
      </c>
      <c r="F133" s="73">
        <f>F134</f>
        <v>56000</v>
      </c>
      <c r="G133" s="75">
        <f>G134+G135</f>
        <v>0</v>
      </c>
      <c r="H133" s="74"/>
      <c r="I133" s="74"/>
      <c r="J133" s="74"/>
      <c r="K133" s="93">
        <f t="shared" si="11"/>
        <v>0</v>
      </c>
      <c r="L133" s="55">
        <f>L134+L135</f>
        <v>8246</v>
      </c>
      <c r="M133" s="56">
        <f t="shared" si="12"/>
        <v>0</v>
      </c>
      <c r="N133" s="70">
        <f t="shared" si="12"/>
        <v>47754</v>
      </c>
      <c r="O133" s="58">
        <v>0</v>
      </c>
      <c r="P133" s="59">
        <v>0</v>
      </c>
      <c r="Q133" s="1"/>
      <c r="R133" s="1"/>
      <c r="S133" s="1"/>
    </row>
    <row r="134" spans="1:19" ht="29.25" customHeight="1" thickBot="1">
      <c r="A134" s="60" t="s">
        <v>195</v>
      </c>
      <c r="B134" s="301" t="s">
        <v>53</v>
      </c>
      <c r="C134" s="302"/>
      <c r="D134" s="303"/>
      <c r="E134" s="155"/>
      <c r="F134" s="31">
        <f>56000+E134</f>
        <v>56000</v>
      </c>
      <c r="G134" s="74"/>
      <c r="H134" s="74"/>
      <c r="I134" s="74"/>
      <c r="J134" s="74"/>
      <c r="K134" s="94">
        <f t="shared" si="11"/>
        <v>0</v>
      </c>
      <c r="L134" s="33">
        <f>8246+K134</f>
        <v>8246</v>
      </c>
      <c r="M134" s="34">
        <f t="shared" si="12"/>
        <v>0</v>
      </c>
      <c r="N134" s="35">
        <f t="shared" si="12"/>
        <v>47754</v>
      </c>
      <c r="O134" s="64">
        <v>0</v>
      </c>
      <c r="P134" s="65">
        <v>0</v>
      </c>
      <c r="Q134" s="1"/>
      <c r="R134" s="1"/>
      <c r="S134" s="1"/>
    </row>
    <row r="135" spans="1:19" ht="32.25" customHeight="1" thickBot="1">
      <c r="A135" s="60" t="s">
        <v>196</v>
      </c>
      <c r="B135" s="301" t="s">
        <v>104</v>
      </c>
      <c r="C135" s="302"/>
      <c r="D135" s="303"/>
      <c r="E135" s="61"/>
      <c r="F135" s="31"/>
      <c r="G135" s="74"/>
      <c r="H135" s="74"/>
      <c r="I135" s="74"/>
      <c r="J135" s="74"/>
      <c r="K135" s="94">
        <f t="shared" si="11"/>
        <v>0</v>
      </c>
      <c r="L135" s="33">
        <f>0+K135</f>
        <v>0</v>
      </c>
      <c r="M135" s="34">
        <f t="shared" si="12"/>
        <v>0</v>
      </c>
      <c r="N135" s="35">
        <f t="shared" si="12"/>
        <v>0</v>
      </c>
      <c r="O135" s="64">
        <v>0</v>
      </c>
      <c r="P135" s="65">
        <v>0</v>
      </c>
      <c r="Q135" s="1"/>
      <c r="R135" s="1"/>
      <c r="S135" s="1"/>
    </row>
    <row r="136" spans="1:19" ht="31.5" customHeight="1" thickBot="1">
      <c r="A136" s="111">
        <v>16</v>
      </c>
      <c r="B136" s="304" t="s">
        <v>197</v>
      </c>
      <c r="C136" s="304"/>
      <c r="D136" s="305"/>
      <c r="E136" s="31">
        <v>0</v>
      </c>
      <c r="F136" s="73">
        <f>F137</f>
        <v>0</v>
      </c>
      <c r="G136" s="75">
        <f>G137+G138</f>
        <v>0</v>
      </c>
      <c r="H136" s="74"/>
      <c r="I136" s="74"/>
      <c r="J136" s="74"/>
      <c r="K136" s="93">
        <f t="shared" si="11"/>
        <v>0</v>
      </c>
      <c r="L136" s="55">
        <f>L137+L138</f>
        <v>38750</v>
      </c>
      <c r="M136" s="56">
        <f t="shared" si="12"/>
        <v>0</v>
      </c>
      <c r="N136" s="70">
        <f t="shared" si="12"/>
        <v>-38750</v>
      </c>
      <c r="O136" s="58">
        <v>0</v>
      </c>
      <c r="P136" s="59">
        <v>0</v>
      </c>
      <c r="Q136" s="1"/>
      <c r="R136" s="1"/>
      <c r="S136" s="1"/>
    </row>
    <row r="137" spans="1:19" ht="34.5" customHeight="1" thickBot="1">
      <c r="A137" s="60" t="s">
        <v>198</v>
      </c>
      <c r="B137" s="301" t="s">
        <v>53</v>
      </c>
      <c r="C137" s="302"/>
      <c r="D137" s="303"/>
      <c r="E137" s="61"/>
      <c r="F137" s="31">
        <v>0</v>
      </c>
      <c r="G137" s="74"/>
      <c r="H137" s="74"/>
      <c r="I137" s="74"/>
      <c r="J137" s="74"/>
      <c r="K137" s="94">
        <f t="shared" si="11"/>
        <v>0</v>
      </c>
      <c r="L137" s="33">
        <f>38750+K137</f>
        <v>38750</v>
      </c>
      <c r="M137" s="34">
        <f t="shared" si="12"/>
        <v>0</v>
      </c>
      <c r="N137" s="35">
        <f t="shared" si="12"/>
        <v>-38750</v>
      </c>
      <c r="O137" s="64">
        <v>0</v>
      </c>
      <c r="P137" s="65">
        <v>0</v>
      </c>
      <c r="Q137" s="1"/>
      <c r="R137" s="1"/>
      <c r="S137" s="1"/>
    </row>
    <row r="138" spans="1:19" ht="41.25" customHeight="1" thickBot="1">
      <c r="A138" s="60" t="s">
        <v>199</v>
      </c>
      <c r="B138" s="301" t="s">
        <v>104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1"/>
        <v>0</v>
      </c>
      <c r="L138" s="33">
        <f>0+K138</f>
        <v>0</v>
      </c>
      <c r="M138" s="34">
        <f t="shared" si="12"/>
        <v>0</v>
      </c>
      <c r="N138" s="35">
        <f t="shared" si="12"/>
        <v>0</v>
      </c>
      <c r="O138" s="64">
        <v>0</v>
      </c>
      <c r="P138" s="65">
        <v>0</v>
      </c>
      <c r="Q138" s="1"/>
      <c r="R138" s="1"/>
      <c r="S138" s="1"/>
    </row>
    <row r="139" spans="1:19" ht="47.25" customHeight="1" thickBot="1">
      <c r="A139" s="110">
        <v>17</v>
      </c>
      <c r="B139" s="304" t="s">
        <v>200</v>
      </c>
      <c r="C139" s="304"/>
      <c r="D139" s="305"/>
      <c r="E139" s="73">
        <v>0</v>
      </c>
      <c r="F139" s="73">
        <f>F140</f>
        <v>0</v>
      </c>
      <c r="G139" s="75">
        <f>G140+G141</f>
        <v>0</v>
      </c>
      <c r="H139" s="75"/>
      <c r="I139" s="75"/>
      <c r="J139" s="75"/>
      <c r="K139" s="93">
        <f t="shared" si="11"/>
        <v>0</v>
      </c>
      <c r="L139" s="55">
        <f>L140</f>
        <v>0</v>
      </c>
      <c r="M139" s="56">
        <f t="shared" si="12"/>
        <v>0</v>
      </c>
      <c r="N139" s="70">
        <f t="shared" si="12"/>
        <v>0</v>
      </c>
      <c r="O139" s="58">
        <v>0</v>
      </c>
      <c r="P139" s="59">
        <v>0</v>
      </c>
      <c r="Q139" s="1"/>
      <c r="R139" s="1"/>
      <c r="S139" s="1"/>
    </row>
    <row r="140" spans="1:19" ht="27" customHeight="1" thickBot="1">
      <c r="A140" s="60" t="s">
        <v>201</v>
      </c>
      <c r="B140" s="301" t="s">
        <v>53</v>
      </c>
      <c r="C140" s="302"/>
      <c r="D140" s="303"/>
      <c r="E140" s="61"/>
      <c r="F140" s="31">
        <f>0+E140</f>
        <v>0</v>
      </c>
      <c r="G140" s="74"/>
      <c r="H140" s="74"/>
      <c r="I140" s="74"/>
      <c r="J140" s="74"/>
      <c r="K140" s="94">
        <f t="shared" si="11"/>
        <v>0</v>
      </c>
      <c r="L140" s="33">
        <f>0+K140</f>
        <v>0</v>
      </c>
      <c r="M140" s="34">
        <f t="shared" si="12"/>
        <v>0</v>
      </c>
      <c r="N140" s="35">
        <f t="shared" si="12"/>
        <v>0</v>
      </c>
      <c r="O140" s="64">
        <v>0</v>
      </c>
      <c r="P140" s="65">
        <v>0</v>
      </c>
      <c r="Q140" s="1"/>
      <c r="R140" s="1"/>
      <c r="S140" s="1"/>
    </row>
    <row r="141" spans="1:19" ht="29.25" customHeight="1" thickBot="1">
      <c r="A141" s="60" t="s">
        <v>202</v>
      </c>
      <c r="B141" s="301" t="s">
        <v>104</v>
      </c>
      <c r="C141" s="302"/>
      <c r="D141" s="303"/>
      <c r="E141" s="61"/>
      <c r="F141" s="31"/>
      <c r="G141" s="74"/>
      <c r="H141" s="74"/>
      <c r="I141" s="74"/>
      <c r="J141" s="74"/>
      <c r="K141" s="94">
        <f t="shared" si="11"/>
        <v>0</v>
      </c>
      <c r="L141" s="33">
        <f>0+K141</f>
        <v>0</v>
      </c>
      <c r="M141" s="34">
        <f t="shared" si="12"/>
        <v>0</v>
      </c>
      <c r="N141" s="35">
        <f t="shared" si="12"/>
        <v>0</v>
      </c>
      <c r="O141" s="64">
        <v>0</v>
      </c>
      <c r="P141" s="65">
        <v>0</v>
      </c>
      <c r="Q141" s="1"/>
      <c r="R141" s="1"/>
      <c r="S141" s="1"/>
    </row>
    <row r="142" spans="1:19" ht="22.5" customHeight="1" thickBot="1">
      <c r="A142" s="110">
        <v>18</v>
      </c>
      <c r="B142" s="306" t="s">
        <v>42</v>
      </c>
      <c r="C142" s="306"/>
      <c r="D142" s="307"/>
      <c r="E142" s="31">
        <v>0</v>
      </c>
      <c r="F142" s="31"/>
      <c r="G142" s="74"/>
      <c r="H142" s="74"/>
      <c r="I142" s="74"/>
      <c r="J142" s="75"/>
      <c r="K142" s="93">
        <f>J142</f>
        <v>0</v>
      </c>
      <c r="L142" s="55">
        <f>890351.89+K142</f>
        <v>890351.89</v>
      </c>
      <c r="M142" s="56">
        <f>E142-K142</f>
        <v>0</v>
      </c>
      <c r="N142" s="70">
        <f t="shared" si="12"/>
        <v>-890351.89</v>
      </c>
      <c r="O142" s="58">
        <v>0</v>
      </c>
      <c r="P142" s="59">
        <v>0</v>
      </c>
      <c r="Q142" s="1"/>
      <c r="R142" s="1"/>
      <c r="S142" s="1"/>
    </row>
    <row r="143" spans="1:19" ht="59.25" customHeight="1" thickBot="1">
      <c r="A143" s="112"/>
      <c r="B143" s="295" t="s">
        <v>203</v>
      </c>
      <c r="C143" s="295"/>
      <c r="D143" s="295"/>
      <c r="E143" s="295"/>
      <c r="F143" s="113"/>
      <c r="G143" s="113" t="s">
        <v>4</v>
      </c>
      <c r="H143" s="239" t="s">
        <v>5</v>
      </c>
      <c r="I143" s="296" t="s">
        <v>6</v>
      </c>
      <c r="J143" s="297"/>
      <c r="K143" s="8" t="s">
        <v>11</v>
      </c>
      <c r="L143" s="7" t="s">
        <v>8</v>
      </c>
      <c r="M143" s="7" t="s">
        <v>9</v>
      </c>
      <c r="N143" s="115" t="s">
        <v>10</v>
      </c>
      <c r="O143" s="212" t="s">
        <v>228</v>
      </c>
      <c r="P143" s="242"/>
      <c r="Q143" s="1"/>
      <c r="R143" s="1"/>
      <c r="S143" s="1"/>
    </row>
    <row r="144" spans="1:19" ht="23.25" customHeight="1" thickBot="1">
      <c r="A144" s="118"/>
      <c r="B144" s="295" t="s">
        <v>12</v>
      </c>
      <c r="C144" s="295"/>
      <c r="D144" s="295"/>
      <c r="E144" s="298"/>
      <c r="F144" s="119"/>
      <c r="G144" s="119">
        <v>0</v>
      </c>
      <c r="H144" s="4">
        <v>0</v>
      </c>
      <c r="I144" s="299">
        <v>0</v>
      </c>
      <c r="J144" s="300"/>
      <c r="K144" s="120"/>
      <c r="L144" s="4">
        <v>0</v>
      </c>
      <c r="M144" s="240">
        <v>0</v>
      </c>
      <c r="N144" s="240">
        <v>0</v>
      </c>
      <c r="O144" s="4">
        <v>0</v>
      </c>
      <c r="P144" s="4">
        <v>0</v>
      </c>
      <c r="Q144" s="1"/>
      <c r="R144" s="1"/>
      <c r="S144" s="1"/>
    </row>
    <row r="145" spans="1:19" ht="27" customHeight="1" thickBot="1">
      <c r="A145" s="112"/>
      <c r="B145" s="295" t="s">
        <v>13</v>
      </c>
      <c r="C145" s="295"/>
      <c r="D145" s="295"/>
      <c r="E145" s="298"/>
      <c r="F145" s="4"/>
      <c r="G145" s="4">
        <f>F10+G17-G32-G36-G40-G45-G55-G65-G68-G72-G75-G79-G89-G102-G134-G137-G140-G81</f>
        <v>-4826.729999999996</v>
      </c>
      <c r="H145" s="4">
        <f>G18+H10-H30-H34</f>
        <v>4626.689999999944</v>
      </c>
      <c r="I145" s="299">
        <f>I10+G19-I104-I66-I97-I76</f>
        <v>10.6</v>
      </c>
      <c r="J145" s="300"/>
      <c r="K145" s="120">
        <f>O10+G22-J54</f>
        <v>-34.65999999999997</v>
      </c>
      <c r="L145" s="4">
        <f>L10+G23-J142</f>
        <v>16276.19</v>
      </c>
      <c r="M145" s="240">
        <v>0</v>
      </c>
      <c r="N145" s="4">
        <f>N10+G21-J33-J37-J88</f>
        <v>0</v>
      </c>
      <c r="O145" s="221">
        <f>G10+G20-H54</f>
        <v>0</v>
      </c>
      <c r="P145" s="4">
        <f>SUM(G145:O145)</f>
        <v>16052.08999999995</v>
      </c>
      <c r="Q145" s="1"/>
      <c r="R145" s="80">
        <f>P5+L16-L29</f>
        <v>16052.089999997988</v>
      </c>
      <c r="S145" s="37"/>
    </row>
    <row r="146" spans="1:19" ht="24.75" customHeight="1" thickBot="1">
      <c r="A146" s="122"/>
      <c r="B146" s="288" t="s">
        <v>239</v>
      </c>
      <c r="C146" s="288"/>
      <c r="D146" s="288"/>
      <c r="E146" s="289"/>
      <c r="F146" s="290"/>
      <c r="G146" s="290"/>
      <c r="H146" s="290"/>
      <c r="I146" s="290"/>
      <c r="J146" s="290"/>
      <c r="K146" s="290"/>
      <c r="L146" s="290"/>
      <c r="M146" s="290"/>
      <c r="N146" s="291"/>
      <c r="O146" s="292"/>
      <c r="P146" s="123">
        <f>P145</f>
        <v>16052.08999999995</v>
      </c>
      <c r="Q146" s="1"/>
      <c r="R146" s="37">
        <f>P5+L16-L29</f>
        <v>16052.089999997988</v>
      </c>
      <c r="S146" s="37"/>
    </row>
    <row r="147" spans="1:19" ht="15">
      <c r="A147" s="1"/>
      <c r="B147" s="124"/>
      <c r="C147" s="124"/>
      <c r="D147" s="124"/>
      <c r="E147" s="124"/>
      <c r="F147" s="125"/>
      <c r="G147" s="125"/>
      <c r="H147" s="125"/>
      <c r="I147" s="125"/>
      <c r="J147" s="125"/>
      <c r="K147" s="126"/>
      <c r="L147" s="125"/>
      <c r="M147" s="125"/>
      <c r="N147" s="125"/>
      <c r="O147" s="127"/>
      <c r="P147" s="128"/>
      <c r="Q147" s="1"/>
      <c r="R147" s="37"/>
      <c r="S147" s="1"/>
    </row>
    <row r="148" spans="1:19" ht="15">
      <c r="A148" s="1"/>
      <c r="B148" s="293" t="s">
        <v>204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4" t="s">
        <v>205</v>
      </c>
      <c r="P148" s="294"/>
      <c r="Q148" s="1"/>
      <c r="R148" s="80"/>
      <c r="S148" s="37"/>
    </row>
    <row r="149" spans="1:19" ht="15">
      <c r="A149" s="1"/>
      <c r="B149" s="293" t="s">
        <v>206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 t="s">
        <v>207</v>
      </c>
      <c r="P149" s="293"/>
      <c r="Q149" s="1"/>
      <c r="R149" s="1"/>
      <c r="S149" s="1"/>
    </row>
    <row r="150" spans="1:19" ht="15">
      <c r="A150" s="1"/>
      <c r="B150" s="237"/>
      <c r="C150" s="237"/>
      <c r="D150" s="237"/>
      <c r="E150" s="237"/>
      <c r="F150" s="237"/>
      <c r="G150" s="237"/>
      <c r="H150" s="237"/>
      <c r="I150" s="237"/>
      <c r="J150" s="130"/>
      <c r="K150" s="131"/>
      <c r="L150" s="130"/>
      <c r="M150" s="237"/>
      <c r="N150" s="237"/>
      <c r="O150" s="237"/>
      <c r="P150" s="130"/>
      <c r="Q150" s="1"/>
      <c r="R150" s="37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32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7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1"/>
      <c r="P154" s="1"/>
      <c r="Q154" s="1"/>
      <c r="R154" s="1"/>
      <c r="S154" s="1"/>
    </row>
    <row r="155" spans="12:16" ht="15">
      <c r="L155" s="1"/>
      <c r="M155" s="1"/>
      <c r="N155" s="37"/>
      <c r="O155" s="1"/>
      <c r="P155" s="37"/>
    </row>
    <row r="156" spans="12:16" ht="15">
      <c r="L156" s="1"/>
      <c r="M156" s="1"/>
      <c r="N156" s="133"/>
      <c r="O156" s="1"/>
      <c r="P156" s="37"/>
    </row>
    <row r="157" spans="12:16" ht="15">
      <c r="L157" s="37"/>
      <c r="M157" s="1"/>
      <c r="N157" s="1"/>
      <c r="O157" s="1"/>
      <c r="P157" s="1"/>
    </row>
    <row r="158" spans="12:16" ht="15">
      <c r="L158" s="37"/>
      <c r="M158" s="37"/>
      <c r="N158" s="1"/>
      <c r="O158" s="1"/>
      <c r="P158" s="1"/>
    </row>
  </sheetData>
  <sheetProtection/>
  <mergeCells count="201">
    <mergeCell ref="B10:E10"/>
    <mergeCell ref="I10:J10"/>
    <mergeCell ref="B6:E6"/>
    <mergeCell ref="F6:O6"/>
    <mergeCell ref="B7:E7"/>
    <mergeCell ref="F7:P7"/>
    <mergeCell ref="B8:E8"/>
    <mergeCell ref="I8:J8"/>
    <mergeCell ref="B1:P1"/>
    <mergeCell ref="B2:P2"/>
    <mergeCell ref="B3:P3"/>
    <mergeCell ref="B4:P4"/>
    <mergeCell ref="B5:E5"/>
    <mergeCell ref="F5:O5"/>
    <mergeCell ref="B9:E9"/>
    <mergeCell ref="I9:J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49:E149"/>
    <mergeCell ref="F149:N149"/>
    <mergeCell ref="O149:P149"/>
    <mergeCell ref="B145:E145"/>
    <mergeCell ref="B148:E148"/>
    <mergeCell ref="F148:N148"/>
    <mergeCell ref="O148:P148"/>
    <mergeCell ref="B141:D141"/>
    <mergeCell ref="B143:E143"/>
    <mergeCell ref="I143:J143"/>
    <mergeCell ref="B144:E144"/>
    <mergeCell ref="I144:J144"/>
    <mergeCell ref="B142:D142"/>
    <mergeCell ref="I145:J145"/>
    <mergeCell ref="B146:E146"/>
    <mergeCell ref="F146:O146"/>
  </mergeCells>
  <printOptions/>
  <pageMargins left="0" right="0" top="0.15748031496062992" bottom="0.15748031496062992" header="0.1968503937007874" footer="0.11811023622047245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86">
      <selection activeCell="G16" sqref="G16:J16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140625" style="2" customWidth="1"/>
    <col min="5" max="5" width="11.140625" style="2" customWidth="1"/>
    <col min="6" max="6" width="14.140625" style="2" customWidth="1"/>
    <col min="7" max="7" width="12.7109375" style="2" customWidth="1"/>
    <col min="8" max="8" width="11.0039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 customHeight="1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 customHeight="1">
      <c r="A2" s="1"/>
      <c r="B2" s="472" t="s">
        <v>245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5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customHeight="1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15.75" customHeight="1" thickBot="1">
      <c r="A5" s="3"/>
      <c r="B5" s="451" t="s">
        <v>211</v>
      </c>
      <c r="C5" s="288"/>
      <c r="D5" s="288"/>
      <c r="E5" s="289"/>
      <c r="F5" s="471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1" customHeight="1" thickBot="1">
      <c r="A6" s="3"/>
      <c r="B6" s="451" t="s">
        <v>246</v>
      </c>
      <c r="C6" s="288"/>
      <c r="D6" s="288"/>
      <c r="E6" s="289"/>
      <c r="F6" s="471"/>
      <c r="G6" s="290"/>
      <c r="H6" s="290"/>
      <c r="I6" s="290"/>
      <c r="J6" s="290"/>
      <c r="K6" s="290"/>
      <c r="L6" s="290"/>
      <c r="M6" s="290"/>
      <c r="N6" s="290"/>
      <c r="O6" s="452"/>
      <c r="P6" s="255">
        <f>P10</f>
        <v>16052.09</v>
      </c>
    </row>
    <row r="7" spans="1:16" ht="15.75" thickBot="1">
      <c r="A7" s="3"/>
      <c r="B7" s="453"/>
      <c r="C7" s="454"/>
      <c r="D7" s="454"/>
      <c r="E7" s="455"/>
      <c r="F7" s="403"/>
      <c r="G7" s="404"/>
      <c r="H7" s="404"/>
      <c r="I7" s="404"/>
      <c r="J7" s="404"/>
      <c r="K7" s="404"/>
      <c r="L7" s="404"/>
      <c r="M7" s="404"/>
      <c r="N7" s="404"/>
      <c r="O7" s="404"/>
      <c r="P7" s="405"/>
    </row>
    <row r="8" spans="1:16" ht="75.75" customHeight="1" thickBot="1">
      <c r="A8" s="6"/>
      <c r="B8" s="451" t="s">
        <v>3</v>
      </c>
      <c r="C8" s="288"/>
      <c r="D8" s="288"/>
      <c r="E8" s="289"/>
      <c r="F8" s="253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257" t="s">
        <v>9</v>
      </c>
      <c r="N8" s="265" t="s">
        <v>10</v>
      </c>
      <c r="O8" s="11" t="s">
        <v>11</v>
      </c>
      <c r="P8" s="12"/>
    </row>
    <row r="9" spans="1:16" ht="15.75" customHeight="1" thickBot="1">
      <c r="A9" s="3"/>
      <c r="B9" s="448" t="s">
        <v>12</v>
      </c>
      <c r="C9" s="449"/>
      <c r="D9" s="449"/>
      <c r="E9" s="450"/>
      <c r="F9" s="254">
        <v>0</v>
      </c>
      <c r="G9" s="254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254">
        <v>0</v>
      </c>
      <c r="N9" s="4">
        <v>0</v>
      </c>
      <c r="O9" s="15">
        <v>0</v>
      </c>
      <c r="P9" s="255">
        <v>0</v>
      </c>
    </row>
    <row r="10" spans="1:16" ht="22.5" customHeight="1" thickBot="1">
      <c r="A10" s="3"/>
      <c r="B10" s="448" t="s">
        <v>13</v>
      </c>
      <c r="C10" s="449"/>
      <c r="D10" s="449"/>
      <c r="E10" s="450"/>
      <c r="F10" s="254">
        <v>-4826.73</v>
      </c>
      <c r="G10" s="254">
        <v>0</v>
      </c>
      <c r="H10" s="4">
        <v>4626.69</v>
      </c>
      <c r="I10" s="299">
        <v>10.6</v>
      </c>
      <c r="J10" s="300"/>
      <c r="K10" s="13">
        <v>0</v>
      </c>
      <c r="L10" s="4">
        <v>16276.19</v>
      </c>
      <c r="M10" s="254">
        <v>0</v>
      </c>
      <c r="N10" s="4">
        <v>0</v>
      </c>
      <c r="O10" s="4">
        <v>-34.66</v>
      </c>
      <c r="P10" s="255">
        <f>SUM(F10:O10)</f>
        <v>16052.09</v>
      </c>
    </row>
    <row r="11" spans="1:16" ht="15.75" thickBot="1">
      <c r="A11" s="261"/>
      <c r="B11" s="451"/>
      <c r="C11" s="288"/>
      <c r="D11" s="288"/>
      <c r="E11" s="28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297"/>
    </row>
    <row r="12" spans="1:16" ht="15" customHeight="1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33.75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260">
        <v>3</v>
      </c>
      <c r="G14" s="403">
        <v>4</v>
      </c>
      <c r="H14" s="404"/>
      <c r="I14" s="404"/>
      <c r="J14" s="405"/>
      <c r="K14" s="19">
        <v>5</v>
      </c>
      <c r="L14" s="259">
        <v>6</v>
      </c>
      <c r="M14" s="7">
        <v>7</v>
      </c>
      <c r="N14" s="259">
        <v>8</v>
      </c>
      <c r="O14" s="259">
        <v>9</v>
      </c>
      <c r="P14" s="7">
        <v>10</v>
      </c>
    </row>
    <row r="15" spans="1:16" ht="30" customHeight="1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7" customHeight="1" thickBot="1">
      <c r="A16" s="413"/>
      <c r="B16" s="431"/>
      <c r="C16" s="432"/>
      <c r="D16" s="433"/>
      <c r="E16" s="26">
        <f>SUM(E17:E23)</f>
        <v>308693</v>
      </c>
      <c r="F16" s="27">
        <f>SUM(F17:F23)</f>
        <v>12069032</v>
      </c>
      <c r="G16" s="437">
        <f>G17+G18+G19+G20+G21+G22+G23</f>
        <v>433890.13</v>
      </c>
      <c r="H16" s="438"/>
      <c r="I16" s="438"/>
      <c r="J16" s="439"/>
      <c r="K16" s="263">
        <f>SUM(K17:K23)</f>
        <v>433890.13</v>
      </c>
      <c r="L16" s="263">
        <f>SUM(L17:L23)</f>
        <v>11527849.48</v>
      </c>
      <c r="M16" s="263">
        <f>SUM(M17:M23)</f>
        <v>-125197.13</v>
      </c>
      <c r="N16" s="263">
        <f>SUM(N17:N23)</f>
        <v>541182.5199999999</v>
      </c>
      <c r="O16" s="29">
        <v>0</v>
      </c>
      <c r="P16" s="29">
        <v>0</v>
      </c>
    </row>
    <row r="17" spans="1:18" ht="51.75" customHeight="1" thickBot="1">
      <c r="A17" s="30" t="s">
        <v>29</v>
      </c>
      <c r="B17" s="393" t="s">
        <v>30</v>
      </c>
      <c r="C17" s="394"/>
      <c r="D17" s="395"/>
      <c r="E17" s="154">
        <v>62836</v>
      </c>
      <c r="F17" s="31">
        <f>6767928+E17</f>
        <v>6830764</v>
      </c>
      <c r="G17" s="409">
        <v>159418.88</v>
      </c>
      <c r="H17" s="410"/>
      <c r="I17" s="410"/>
      <c r="J17" s="411"/>
      <c r="K17" s="264">
        <f>G17</f>
        <v>159418.88</v>
      </c>
      <c r="L17" s="33">
        <f>5470027.7+K17</f>
        <v>5629446.58</v>
      </c>
      <c r="M17" s="34">
        <f>E17-K17</f>
        <v>-96582.88</v>
      </c>
      <c r="N17" s="35">
        <f>F17-L17</f>
        <v>1201317.42</v>
      </c>
      <c r="O17" s="36">
        <v>0</v>
      </c>
      <c r="P17" s="36">
        <v>0</v>
      </c>
      <c r="Q17" s="1"/>
      <c r="R17" s="37">
        <v>365352.1499999948</v>
      </c>
    </row>
    <row r="18" spans="1:18" ht="47.25" customHeight="1" thickBot="1">
      <c r="A18" s="38" t="s">
        <v>31</v>
      </c>
      <c r="B18" s="473" t="s">
        <v>32</v>
      </c>
      <c r="C18" s="474"/>
      <c r="D18" s="475"/>
      <c r="E18" s="148">
        <v>214757</v>
      </c>
      <c r="F18" s="31">
        <f>3678311+E18</f>
        <v>3893068</v>
      </c>
      <c r="G18" s="409">
        <v>163700</v>
      </c>
      <c r="H18" s="410"/>
      <c r="I18" s="410"/>
      <c r="J18" s="411"/>
      <c r="K18" s="264">
        <f>G18</f>
        <v>163700</v>
      </c>
      <c r="L18" s="33">
        <f>3599670+K18</f>
        <v>3763370</v>
      </c>
      <c r="M18" s="34">
        <f>E18-K18</f>
        <v>51057</v>
      </c>
      <c r="N18" s="35">
        <f>F18-L18</f>
        <v>129698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264">
        <f>G19</f>
        <v>0</v>
      </c>
      <c r="L19" s="33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416" t="s">
        <v>36</v>
      </c>
      <c r="C20" s="417"/>
      <c r="D20" s="418"/>
      <c r="E20" s="42">
        <v>31100</v>
      </c>
      <c r="F20" s="31">
        <f>1314100+E20</f>
        <v>1345200</v>
      </c>
      <c r="G20" s="409">
        <v>110771.25</v>
      </c>
      <c r="H20" s="410"/>
      <c r="I20" s="410"/>
      <c r="J20" s="411"/>
      <c r="K20" s="264">
        <f>G20</f>
        <v>110771.25</v>
      </c>
      <c r="L20" s="33">
        <f>1257426.06+K20</f>
        <v>1368197.31</v>
      </c>
      <c r="M20" s="34">
        <f t="shared" si="0"/>
        <v>-79671.25</v>
      </c>
      <c r="N20" s="35">
        <f t="shared" si="0"/>
        <v>-22997.310000000056</v>
      </c>
      <c r="O20" s="36">
        <v>0</v>
      </c>
      <c r="P20" s="36">
        <v>0</v>
      </c>
      <c r="Q20" s="37"/>
      <c r="R20" s="37"/>
    </row>
    <row r="21" spans="1:18" ht="33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264">
        <f>G21</f>
        <v>0</v>
      </c>
      <c r="L21" s="33">
        <f>21850+K21</f>
        <v>21850</v>
      </c>
      <c r="M21" s="34">
        <f t="shared" si="0"/>
        <v>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38.25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/>
      <c r="H22" s="410"/>
      <c r="I22" s="410"/>
      <c r="J22" s="411"/>
      <c r="K22" s="264">
        <f>G22</f>
        <v>0</v>
      </c>
      <c r="L22" s="33">
        <f>8955.66+K22</f>
        <v>8955.66</v>
      </c>
      <c r="M22" s="34">
        <f>E22-K22</f>
        <v>0</v>
      </c>
      <c r="N22" s="35">
        <f t="shared" si="0"/>
        <v>-8955.66</v>
      </c>
      <c r="O22" s="36">
        <v>0</v>
      </c>
      <c r="P22" s="36">
        <v>0</v>
      </c>
      <c r="Q22" s="1"/>
      <c r="R22" s="1"/>
    </row>
    <row r="23" spans="1:18" ht="36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/>
      <c r="H23" s="410"/>
      <c r="I23" s="410"/>
      <c r="J23" s="411"/>
      <c r="K23" s="264">
        <f>G23</f>
        <v>0</v>
      </c>
      <c r="L23" s="33">
        <f>711229.93+K23</f>
        <v>711229.93</v>
      </c>
      <c r="M23" s="34">
        <f t="shared" si="0"/>
        <v>0</v>
      </c>
      <c r="N23" s="35">
        <f t="shared" si="0"/>
        <v>-711229.93</v>
      </c>
      <c r="O23" s="36">
        <v>0</v>
      </c>
      <c r="P23" s="36">
        <v>0</v>
      </c>
      <c r="Q23" s="1"/>
      <c r="R23" s="1"/>
    </row>
    <row r="24" spans="1:18" ht="15.75" thickBot="1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3" customHeight="1" hidden="1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customHeight="1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69.75" customHeight="1" thickBot="1">
      <c r="A27" s="413"/>
      <c r="B27" s="371"/>
      <c r="C27" s="372"/>
      <c r="D27" s="373"/>
      <c r="E27" s="375"/>
      <c r="F27" s="377"/>
      <c r="G27" s="256" t="s">
        <v>45</v>
      </c>
      <c r="H27" s="256" t="s">
        <v>46</v>
      </c>
      <c r="I27" s="256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2" customHeight="1" thickBot="1">
      <c r="A28" s="3"/>
      <c r="B28" s="316">
        <v>1</v>
      </c>
      <c r="C28" s="317"/>
      <c r="D28" s="318"/>
      <c r="E28" s="17" t="s">
        <v>22</v>
      </c>
      <c r="F28" s="256">
        <v>3</v>
      </c>
      <c r="G28" s="256">
        <v>4</v>
      </c>
      <c r="H28" s="256">
        <v>5</v>
      </c>
      <c r="I28" s="7">
        <v>6</v>
      </c>
      <c r="J28" s="7">
        <v>7</v>
      </c>
      <c r="K28" s="48">
        <v>8</v>
      </c>
      <c r="L28" s="259">
        <v>9</v>
      </c>
      <c r="M28" s="7">
        <v>10</v>
      </c>
      <c r="N28" s="259">
        <v>11</v>
      </c>
      <c r="O28" s="7">
        <v>12</v>
      </c>
      <c r="P28" s="259">
        <v>13</v>
      </c>
      <c r="Q28" s="1"/>
      <c r="R28" s="1"/>
    </row>
    <row r="29" spans="1:18" ht="15.75" thickBot="1">
      <c r="A29" s="3"/>
      <c r="B29" s="403" t="s">
        <v>23</v>
      </c>
      <c r="C29" s="404"/>
      <c r="D29" s="405"/>
      <c r="E29" s="49">
        <f aca="true" t="shared" si="1" ref="E29:N29">E30+E34+E38+E44+E51+E54+E64+E67+E71+E74+E78+E80+E86+E99+E131+E134+E137+E140</f>
        <v>308693</v>
      </c>
      <c r="F29" s="49">
        <f t="shared" si="1"/>
        <v>12069032</v>
      </c>
      <c r="G29" s="49">
        <f t="shared" si="1"/>
        <v>165389.81</v>
      </c>
      <c r="H29" s="49">
        <f>H30+H34+H38+H44+H51+H54+H64+H67+H71+H74+H78+H80+H86+H99+H131+H134+H137+H140</f>
        <v>159771.25</v>
      </c>
      <c r="I29" s="49">
        <f t="shared" si="1"/>
        <v>0</v>
      </c>
      <c r="J29" s="49">
        <f t="shared" si="1"/>
        <v>0</v>
      </c>
      <c r="K29" s="49">
        <f t="shared" si="1"/>
        <v>325161.06</v>
      </c>
      <c r="L29" s="49">
        <f>L30+L34+L38+L44+L51+L54+L64+L67+L71+L74+L78+L80+L86+L99+L131+L134+L137+L140</f>
        <v>11649492.740000002</v>
      </c>
      <c r="M29" s="49">
        <f t="shared" si="1"/>
        <v>-16468.059999999976</v>
      </c>
      <c r="N29" s="49">
        <f t="shared" si="1"/>
        <v>419539.26000000036</v>
      </c>
      <c r="O29" s="50">
        <v>0</v>
      </c>
      <c r="P29" s="50">
        <v>0</v>
      </c>
      <c r="Q29" s="1"/>
      <c r="R29" s="37">
        <f>3440426+E29</f>
        <v>3749119</v>
      </c>
    </row>
    <row r="30" spans="1:18" ht="15.75" customHeight="1" thickBot="1">
      <c r="A30" s="51" t="s">
        <v>21</v>
      </c>
      <c r="B30" s="402" t="s">
        <v>49</v>
      </c>
      <c r="C30" s="304"/>
      <c r="D30" s="305"/>
      <c r="E30" s="52">
        <f>SUM(E31:E32)</f>
        <v>178666</v>
      </c>
      <c r="F30" s="53">
        <f>F31+F32+F33</f>
        <v>5610252</v>
      </c>
      <c r="G30" s="54">
        <f>G31+G32+G33</f>
        <v>15943.24</v>
      </c>
      <c r="H30" s="54">
        <f>H31</f>
        <v>49000</v>
      </c>
      <c r="I30" s="54"/>
      <c r="J30" s="54"/>
      <c r="K30" s="53">
        <f>G30+H30</f>
        <v>64943.24</v>
      </c>
      <c r="L30" s="55">
        <f>L31+L32+L33</f>
        <v>5822922.85</v>
      </c>
      <c r="M30" s="56">
        <f>E30-K30</f>
        <v>113722.76000000001</v>
      </c>
      <c r="N30" s="70">
        <f>F30-L30</f>
        <v>-212670.84999999963</v>
      </c>
      <c r="O30" s="58">
        <v>0</v>
      </c>
      <c r="P30" s="59">
        <v>0</v>
      </c>
      <c r="Q30" s="37"/>
      <c r="R30" s="37">
        <f>K29+'ИЮЛЬ 2017'!L29</f>
        <v>11649492.740000002</v>
      </c>
    </row>
    <row r="31" spans="1:18" ht="19.5" customHeight="1" thickBot="1">
      <c r="A31" s="60" t="s">
        <v>50</v>
      </c>
      <c r="B31" s="388" t="s">
        <v>51</v>
      </c>
      <c r="C31" s="389"/>
      <c r="D31" s="390"/>
      <c r="E31" s="172">
        <v>178666</v>
      </c>
      <c r="F31" s="31">
        <f>3060159+E31</f>
        <v>3238825</v>
      </c>
      <c r="G31" s="62"/>
      <c r="H31" s="62">
        <v>49000</v>
      </c>
      <c r="I31" s="62"/>
      <c r="J31" s="62"/>
      <c r="K31" s="45">
        <f>H31</f>
        <v>49000</v>
      </c>
      <c r="L31" s="33">
        <f>2938048.01+K31</f>
        <v>2987048.01</v>
      </c>
      <c r="M31" s="34">
        <f>E31-K31</f>
        <v>129666</v>
      </c>
      <c r="N31" s="63">
        <f>F31-L31</f>
        <v>251776.99000000022</v>
      </c>
      <c r="O31" s="64">
        <v>0</v>
      </c>
      <c r="P31" s="65">
        <v>0</v>
      </c>
      <c r="Q31" s="37"/>
      <c r="R31" s="37"/>
    </row>
    <row r="32" spans="1:18" ht="28.5" customHeight="1" thickBot="1">
      <c r="A32" s="60" t="s">
        <v>52</v>
      </c>
      <c r="B32" s="301" t="s">
        <v>53</v>
      </c>
      <c r="C32" s="302"/>
      <c r="D32" s="303"/>
      <c r="E32" s="172"/>
      <c r="F32" s="31">
        <f>2371427+E32</f>
        <v>2371427</v>
      </c>
      <c r="G32" s="62">
        <v>15943.24</v>
      </c>
      <c r="H32" s="62"/>
      <c r="I32" s="62"/>
      <c r="J32" s="62"/>
      <c r="K32" s="33">
        <f>0+G32</f>
        <v>15943.24</v>
      </c>
      <c r="L32" s="33">
        <f>2802211.6+K32</f>
        <v>2818154.8400000003</v>
      </c>
      <c r="M32" s="34">
        <f>E32-K32</f>
        <v>-15943.24</v>
      </c>
      <c r="N32" s="63">
        <f>F32-L32</f>
        <v>-446727.8400000003</v>
      </c>
      <c r="O32" s="64">
        <v>0</v>
      </c>
      <c r="P32" s="65">
        <v>0</v>
      </c>
      <c r="Q32" s="37"/>
      <c r="R32" s="37"/>
    </row>
    <row r="33" spans="1:18" ht="15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/>
      <c r="L33" s="33">
        <v>17720</v>
      </c>
      <c r="M33" s="34">
        <f>E33-K33</f>
        <v>0</v>
      </c>
      <c r="N33" s="63">
        <f>F33-L33</f>
        <v>-17720</v>
      </c>
      <c r="O33" s="64">
        <v>0</v>
      </c>
      <c r="P33" s="65">
        <v>0</v>
      </c>
      <c r="Q33" s="37"/>
      <c r="R33" s="37"/>
    </row>
    <row r="34" spans="1:18" ht="31.5" customHeight="1" thickBot="1">
      <c r="A34" s="69" t="s">
        <v>22</v>
      </c>
      <c r="B34" s="357" t="s">
        <v>56</v>
      </c>
      <c r="C34" s="358"/>
      <c r="D34" s="359"/>
      <c r="E34" s="53">
        <f>SUM(E35:E37)</f>
        <v>36091</v>
      </c>
      <c r="F34" s="53">
        <f>F35+F36+F37</f>
        <v>1133272</v>
      </c>
      <c r="G34" s="54">
        <f>G35+G36+G37</f>
        <v>0</v>
      </c>
      <c r="H34" s="54">
        <f>H35</f>
        <v>0</v>
      </c>
      <c r="I34" s="54"/>
      <c r="J34" s="54"/>
      <c r="K34" s="53">
        <f>G34+H34</f>
        <v>0</v>
      </c>
      <c r="L34" s="55">
        <f>L35+L36+L37</f>
        <v>1233428.54</v>
      </c>
      <c r="M34" s="56">
        <f aca="true" t="shared" si="2" ref="M34:N36">E34-K34</f>
        <v>36091</v>
      </c>
      <c r="N34" s="70">
        <f t="shared" si="2"/>
        <v>-100156.54000000004</v>
      </c>
      <c r="O34" s="58">
        <v>0</v>
      </c>
      <c r="P34" s="59">
        <v>0</v>
      </c>
      <c r="Q34" s="1"/>
      <c r="R34" s="1"/>
    </row>
    <row r="35" spans="1:18" ht="21" customHeight="1" thickBot="1">
      <c r="A35" s="60" t="s">
        <v>57</v>
      </c>
      <c r="B35" s="388" t="s">
        <v>51</v>
      </c>
      <c r="C35" s="389"/>
      <c r="D35" s="390"/>
      <c r="E35" s="173">
        <v>36091</v>
      </c>
      <c r="F35" s="31">
        <f>618152+E35</f>
        <v>654243</v>
      </c>
      <c r="G35" s="62"/>
      <c r="H35" s="62"/>
      <c r="I35" s="62"/>
      <c r="J35" s="62"/>
      <c r="K35" s="45">
        <f>H35</f>
        <v>0</v>
      </c>
      <c r="L35" s="33">
        <f>656995.3+K35</f>
        <v>656995.3</v>
      </c>
      <c r="M35" s="34">
        <f t="shared" si="2"/>
        <v>36091</v>
      </c>
      <c r="N35" s="63">
        <f t="shared" si="2"/>
        <v>-2752.3000000000466</v>
      </c>
      <c r="O35" s="64">
        <v>0</v>
      </c>
      <c r="P35" s="65">
        <v>0</v>
      </c>
      <c r="Q35" s="1"/>
      <c r="R35" s="71">
        <f>10506304-F29</f>
        <v>-1562728</v>
      </c>
    </row>
    <row r="36" spans="1:18" ht="30" customHeight="1" thickBot="1">
      <c r="A36" s="60" t="s">
        <v>58</v>
      </c>
      <c r="B36" s="301" t="s">
        <v>53</v>
      </c>
      <c r="C36" s="302"/>
      <c r="D36" s="303"/>
      <c r="E36" s="173"/>
      <c r="F36" s="31">
        <f>479029+E36</f>
        <v>479029</v>
      </c>
      <c r="G36" s="62"/>
      <c r="H36" s="62"/>
      <c r="I36" s="62"/>
      <c r="J36" s="62"/>
      <c r="K36" s="45">
        <f>G36</f>
        <v>0</v>
      </c>
      <c r="L36" s="33">
        <f>572890.16+K36</f>
        <v>572890.16</v>
      </c>
      <c r="M36" s="34">
        <f>E36-K36</f>
        <v>0</v>
      </c>
      <c r="N36" s="63">
        <f t="shared" si="2"/>
        <v>-93861.16000000003</v>
      </c>
      <c r="O36" s="64">
        <v>0</v>
      </c>
      <c r="P36" s="65">
        <v>0</v>
      </c>
      <c r="Q36" s="1"/>
      <c r="R36" s="1"/>
    </row>
    <row r="37" spans="1:18" ht="15.7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/>
      <c r="L37" s="33">
        <f>3543.08+K37</f>
        <v>3543.08</v>
      </c>
      <c r="M37" s="34">
        <f>E37-K37</f>
        <v>0</v>
      </c>
      <c r="N37" s="63">
        <f>F37-L37</f>
        <v>-3543.08</v>
      </c>
      <c r="O37" s="64">
        <v>0</v>
      </c>
      <c r="P37" s="65">
        <v>0</v>
      </c>
      <c r="Q37" s="1"/>
      <c r="R37" s="1"/>
    </row>
    <row r="38" spans="1:18" ht="30.75" customHeight="1" thickBot="1">
      <c r="A38" s="69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89768</v>
      </c>
      <c r="G38" s="54">
        <f>G40</f>
        <v>4625.27</v>
      </c>
      <c r="H38" s="54"/>
      <c r="I38" s="54"/>
      <c r="J38" s="54"/>
      <c r="K38" s="55">
        <f>K39+K40</f>
        <v>4625.27</v>
      </c>
      <c r="L38" s="55">
        <f>L40+L39</f>
        <v>40053.03</v>
      </c>
      <c r="M38" s="56">
        <f>E38-K38</f>
        <v>4220.73</v>
      </c>
      <c r="N38" s="70">
        <f>F38-L38</f>
        <v>49714.97</v>
      </c>
      <c r="O38" s="58">
        <v>0</v>
      </c>
      <c r="P38" s="59">
        <v>0</v>
      </c>
      <c r="Q38" s="1"/>
      <c r="R38" s="1"/>
    </row>
    <row r="39" spans="1:18" ht="18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0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80922+E40</f>
        <v>89768</v>
      </c>
      <c r="G40" s="62">
        <f>G41+G42</f>
        <v>4625.27</v>
      </c>
      <c r="H40" s="62"/>
      <c r="I40" s="62"/>
      <c r="J40" s="62"/>
      <c r="K40" s="33">
        <f>0+G40</f>
        <v>4625.27</v>
      </c>
      <c r="L40" s="33">
        <f>L41+L42+L43</f>
        <v>40053.03</v>
      </c>
      <c r="M40" s="34">
        <f>E40-K40</f>
        <v>4220.73</v>
      </c>
      <c r="N40" s="63">
        <f aca="true" t="shared" si="3" ref="M40:N54">F40-L40</f>
        <v>49714.97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19922+E41</f>
        <v>22768</v>
      </c>
      <c r="G41" s="62">
        <v>2387.94</v>
      </c>
      <c r="H41" s="62"/>
      <c r="I41" s="62"/>
      <c r="J41" s="62"/>
      <c r="K41" s="33">
        <f>0+G41</f>
        <v>2387.94</v>
      </c>
      <c r="L41" s="33">
        <f>15977.5+K41</f>
        <v>18365.44</v>
      </c>
      <c r="M41" s="34">
        <f t="shared" si="3"/>
        <v>458.05999999999995</v>
      </c>
      <c r="N41" s="63">
        <f t="shared" si="3"/>
        <v>4402.560000000001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58000+E42</f>
        <v>64000</v>
      </c>
      <c r="G42" s="62">
        <v>2237.33</v>
      </c>
      <c r="H42" s="62"/>
      <c r="I42" s="62"/>
      <c r="J42" s="62"/>
      <c r="K42" s="33">
        <f>0+G42</f>
        <v>2237.33</v>
      </c>
      <c r="L42" s="33">
        <f>17337.26+K42</f>
        <v>19574.589999999997</v>
      </c>
      <c r="M42" s="34">
        <f t="shared" si="3"/>
        <v>3762.67</v>
      </c>
      <c r="N42" s="63">
        <f t="shared" si="3"/>
        <v>44425.41</v>
      </c>
      <c r="O42" s="64">
        <v>0</v>
      </c>
      <c r="P42" s="65">
        <v>0</v>
      </c>
      <c r="Q42" s="1"/>
      <c r="R42" s="1"/>
    </row>
    <row r="43" spans="1:18" ht="15.75" customHeight="1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3"/>
        <v>0</v>
      </c>
      <c r="N43" s="63">
        <f t="shared" si="3"/>
        <v>887</v>
      </c>
      <c r="O43" s="64">
        <v>0</v>
      </c>
      <c r="P43" s="65">
        <v>0</v>
      </c>
      <c r="Q43" s="1"/>
      <c r="R43" s="37"/>
    </row>
    <row r="44" spans="1:18" ht="33" customHeight="1" thickBot="1">
      <c r="A44" s="51" t="s">
        <v>69</v>
      </c>
      <c r="B44" s="357" t="s">
        <v>70</v>
      </c>
      <c r="C44" s="358"/>
      <c r="D44" s="359"/>
      <c r="E44" s="53">
        <f>SUM(E47:E49)</f>
        <v>0</v>
      </c>
      <c r="F44" s="73">
        <f>F45+F46+F47</f>
        <v>1268000</v>
      </c>
      <c r="G44" s="55">
        <f>G45+G46+G47</f>
        <v>12000</v>
      </c>
      <c r="H44" s="75"/>
      <c r="I44" s="75"/>
      <c r="J44" s="54"/>
      <c r="K44" s="55">
        <f>K45+K46+K47</f>
        <v>12000</v>
      </c>
      <c r="L44" s="55">
        <f>L45+L46+L47</f>
        <v>1008728</v>
      </c>
      <c r="M44" s="56">
        <f t="shared" si="3"/>
        <v>-12000</v>
      </c>
      <c r="N44" s="158">
        <f t="shared" si="3"/>
        <v>259272</v>
      </c>
      <c r="O44" s="58">
        <v>0</v>
      </c>
      <c r="P44" s="59">
        <v>0</v>
      </c>
      <c r="Q44" s="1"/>
      <c r="R44" s="1"/>
    </row>
    <row r="45" spans="1:18" ht="27" customHeight="1" thickBot="1">
      <c r="A45" s="60" t="s">
        <v>71</v>
      </c>
      <c r="B45" s="301" t="s">
        <v>53</v>
      </c>
      <c r="C45" s="302"/>
      <c r="D45" s="303"/>
      <c r="E45" s="155">
        <f>E48+E49</f>
        <v>0</v>
      </c>
      <c r="F45" s="31">
        <f>F48+F49+F50</f>
        <v>1268000</v>
      </c>
      <c r="G45" s="33">
        <f>G48+G49</f>
        <v>12000</v>
      </c>
      <c r="H45" s="74"/>
      <c r="I45" s="74"/>
      <c r="J45" s="62"/>
      <c r="K45" s="33">
        <f>0+G45</f>
        <v>12000</v>
      </c>
      <c r="L45" s="33">
        <f>L48+L49</f>
        <v>1008728</v>
      </c>
      <c r="M45" s="34">
        <f>E45-K45</f>
        <v>-12000</v>
      </c>
      <c r="N45" s="35">
        <f t="shared" si="3"/>
        <v>259272</v>
      </c>
      <c r="O45" s="64">
        <v>0</v>
      </c>
      <c r="P45" s="65">
        <v>0</v>
      </c>
      <c r="Q45" s="1"/>
      <c r="R45" s="1"/>
    </row>
    <row r="46" spans="1:18" ht="15.7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4" ref="K46:K53">0+G46</f>
        <v>0</v>
      </c>
      <c r="L46" s="33">
        <f>0+K46</f>
        <v>0</v>
      </c>
      <c r="M46" s="34">
        <f t="shared" si="3"/>
        <v>0</v>
      </c>
      <c r="N46" s="63">
        <f t="shared" si="3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4"/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80"/>
    </row>
    <row r="48" spans="1:18" ht="28.5" customHeight="1" thickBot="1">
      <c r="A48" s="60" t="s">
        <v>74</v>
      </c>
      <c r="B48" s="308" t="s">
        <v>75</v>
      </c>
      <c r="C48" s="309"/>
      <c r="D48" s="310"/>
      <c r="E48" s="156"/>
      <c r="F48" s="31">
        <f>1248000+E48</f>
        <v>1248000</v>
      </c>
      <c r="G48" s="74">
        <v>12000</v>
      </c>
      <c r="H48" s="74"/>
      <c r="I48" s="74"/>
      <c r="J48" s="62"/>
      <c r="K48" s="33">
        <f>0+G48</f>
        <v>12000</v>
      </c>
      <c r="L48" s="33">
        <f>989897.5+K48</f>
        <v>1001897.5</v>
      </c>
      <c r="M48" s="34">
        <f>E48-K48</f>
        <v>-12000</v>
      </c>
      <c r="N48" s="63">
        <f t="shared" si="3"/>
        <v>246102.5</v>
      </c>
      <c r="O48" s="64">
        <v>0</v>
      </c>
      <c r="P48" s="65">
        <v>0</v>
      </c>
      <c r="Q48" s="1"/>
      <c r="R48" s="37"/>
    </row>
    <row r="49" spans="1:18" ht="27.75" customHeight="1" thickBot="1">
      <c r="A49" s="60" t="s">
        <v>76</v>
      </c>
      <c r="B49" s="308" t="s">
        <v>77</v>
      </c>
      <c r="C49" s="309"/>
      <c r="D49" s="310"/>
      <c r="E49" s="156"/>
      <c r="F49" s="31">
        <f>20000+E49</f>
        <v>20000</v>
      </c>
      <c r="G49" s="74"/>
      <c r="H49" s="74"/>
      <c r="I49" s="74"/>
      <c r="J49" s="62"/>
      <c r="K49" s="33">
        <f t="shared" si="4"/>
        <v>0</v>
      </c>
      <c r="L49" s="33">
        <f>6830.5+K49</f>
        <v>6830.5</v>
      </c>
      <c r="M49" s="34">
        <f t="shared" si="3"/>
        <v>0</v>
      </c>
      <c r="N49" s="63">
        <f t="shared" si="3"/>
        <v>13169.5</v>
      </c>
      <c r="O49" s="64">
        <v>0</v>
      </c>
      <c r="P49" s="65">
        <v>0</v>
      </c>
      <c r="Q49" s="1"/>
      <c r="R49" s="1"/>
    </row>
    <row r="50" spans="1:18" ht="15.75" customHeight="1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4"/>
        <v>0</v>
      </c>
      <c r="L50" s="33">
        <f aca="true" t="shared" si="5" ref="L50:L57">0+K50</f>
        <v>0</v>
      </c>
      <c r="M50" s="34">
        <f t="shared" si="3"/>
        <v>0</v>
      </c>
      <c r="N50" s="63">
        <f t="shared" si="3"/>
        <v>0</v>
      </c>
      <c r="O50" s="64">
        <v>0</v>
      </c>
      <c r="P50" s="65">
        <v>0</v>
      </c>
      <c r="Q50" s="1"/>
      <c r="R50" s="1"/>
    </row>
    <row r="51" spans="1:18" ht="43.5" customHeight="1" thickBot="1">
      <c r="A51" s="69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4"/>
        <v>0</v>
      </c>
      <c r="L51" s="55">
        <f t="shared" si="5"/>
        <v>0</v>
      </c>
      <c r="M51" s="56">
        <f t="shared" si="3"/>
        <v>0</v>
      </c>
      <c r="N51" s="57">
        <f t="shared" si="3"/>
        <v>0</v>
      </c>
      <c r="O51" s="58">
        <v>0</v>
      </c>
      <c r="P51" s="59">
        <v>0</v>
      </c>
      <c r="Q51" s="1"/>
      <c r="R51" s="1"/>
    </row>
    <row r="52" spans="1:18" ht="29.25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4"/>
        <v>0</v>
      </c>
      <c r="L52" s="33">
        <f t="shared" si="5"/>
        <v>0</v>
      </c>
      <c r="M52" s="34">
        <f t="shared" si="3"/>
        <v>0</v>
      </c>
      <c r="N52" s="63">
        <f t="shared" si="3"/>
        <v>0</v>
      </c>
      <c r="O52" s="64">
        <v>0</v>
      </c>
      <c r="P52" s="65">
        <v>0</v>
      </c>
      <c r="Q52" s="1"/>
      <c r="R52" s="1"/>
    </row>
    <row r="53" spans="1:18" ht="19.5" customHeight="1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42.75" customHeight="1" thickBot="1">
      <c r="A54" s="69" t="s">
        <v>84</v>
      </c>
      <c r="B54" s="357" t="s">
        <v>85</v>
      </c>
      <c r="C54" s="358"/>
      <c r="D54" s="359"/>
      <c r="E54" s="53">
        <f>SUM(E59:E63)</f>
        <v>31100</v>
      </c>
      <c r="F54" s="73">
        <f>F56+F58</f>
        <v>1345200</v>
      </c>
      <c r="G54" s="55">
        <f>G55+G56+G57+G58</f>
        <v>0</v>
      </c>
      <c r="H54" s="55">
        <f>H55+H56+H57+H58</f>
        <v>110771.25</v>
      </c>
      <c r="I54" s="55">
        <f>I55+I56+I57+I58</f>
        <v>0</v>
      </c>
      <c r="J54" s="55">
        <f>J55+J56+J57+J58</f>
        <v>0</v>
      </c>
      <c r="K54" s="55">
        <f>K55+K56+K57+K58</f>
        <v>110771.25</v>
      </c>
      <c r="L54" s="55">
        <f>L55+L56+L57+L58</f>
        <v>1656728.41</v>
      </c>
      <c r="M54" s="56">
        <f t="shared" si="3"/>
        <v>-79671.25</v>
      </c>
      <c r="N54" s="70">
        <f t="shared" si="3"/>
        <v>-311528.4099999999</v>
      </c>
      <c r="O54" s="58">
        <v>0</v>
      </c>
      <c r="P54" s="59">
        <v>0</v>
      </c>
      <c r="Q54" s="1"/>
      <c r="R54" s="37">
        <f>F59+F60+F62+F63-F58</f>
        <v>1345200</v>
      </c>
    </row>
    <row r="55" spans="1:18" ht="29.25" customHeight="1" thickBot="1">
      <c r="A55" s="60" t="s">
        <v>86</v>
      </c>
      <c r="B55" s="301" t="s">
        <v>53</v>
      </c>
      <c r="C55" s="302"/>
      <c r="D55" s="303"/>
      <c r="E55" s="95">
        <v>0</v>
      </c>
      <c r="F55" s="268">
        <f>0+E55</f>
        <v>0</v>
      </c>
      <c r="G55" s="33"/>
      <c r="H55" s="33"/>
      <c r="I55" s="33"/>
      <c r="J55" s="33"/>
      <c r="K55" s="33">
        <f>0+G55</f>
        <v>0</v>
      </c>
      <c r="L55" s="33">
        <f>274277.94+K55</f>
        <v>274277.94</v>
      </c>
      <c r="M55" s="34">
        <f>E56-K55</f>
        <v>31100</v>
      </c>
      <c r="N55" s="35">
        <f>F56-L55</f>
        <v>1070922.06</v>
      </c>
      <c r="O55" s="64">
        <v>0</v>
      </c>
      <c r="P55" s="65">
        <v>0</v>
      </c>
      <c r="Q55" s="1"/>
      <c r="R55" s="37"/>
    </row>
    <row r="56" spans="1:18" ht="28.5" customHeight="1" thickBot="1">
      <c r="A56" s="60" t="s">
        <v>87</v>
      </c>
      <c r="B56" s="388" t="s">
        <v>88</v>
      </c>
      <c r="C56" s="389"/>
      <c r="D56" s="390"/>
      <c r="E56" s="208">
        <f>E59+E60+E62+E63-E58</f>
        <v>31100</v>
      </c>
      <c r="F56" s="31">
        <f>1314100+E56</f>
        <v>1345200</v>
      </c>
      <c r="G56" s="33"/>
      <c r="H56" s="33">
        <f>H59+H60+H62+H63</f>
        <v>110771.25</v>
      </c>
      <c r="I56" s="33"/>
      <c r="J56" s="33"/>
      <c r="K56" s="33">
        <f>H56</f>
        <v>110771.25</v>
      </c>
      <c r="L56" s="33">
        <f>1259080.72+K56</f>
        <v>1369851.97</v>
      </c>
      <c r="M56" s="34">
        <f>E57-K56</f>
        <v>-110771.25</v>
      </c>
      <c r="N56" s="35">
        <f>F57-L56</f>
        <v>-1369851.97</v>
      </c>
      <c r="O56" s="64">
        <v>0</v>
      </c>
      <c r="P56" s="65">
        <v>0</v>
      </c>
      <c r="Q56" s="1"/>
      <c r="R56" s="37"/>
    </row>
    <row r="57" spans="1:18" ht="17.25" customHeight="1" thickBot="1">
      <c r="A57" s="60" t="s">
        <v>89</v>
      </c>
      <c r="B57" s="391" t="s">
        <v>55</v>
      </c>
      <c r="C57" s="392"/>
      <c r="D57" s="466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5"/>
        <v>0</v>
      </c>
      <c r="M57" s="34">
        <f aca="true" t="shared" si="6" ref="M57:N71">E57-K57</f>
        <v>0</v>
      </c>
      <c r="N57" s="63">
        <f t="shared" si="6"/>
        <v>0</v>
      </c>
      <c r="O57" s="64">
        <v>0</v>
      </c>
      <c r="P57" s="65">
        <v>0</v>
      </c>
      <c r="Q57" s="1"/>
      <c r="R57" s="37">
        <f>L59+L60+L61+L62+L63</f>
        <v>1471346.98</v>
      </c>
    </row>
    <row r="58" spans="1:18" ht="30.7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 t="shared" si="6"/>
        <v>0</v>
      </c>
      <c r="N58" s="35">
        <f t="shared" si="6"/>
        <v>-12598.5</v>
      </c>
      <c r="O58" s="64">
        <v>0</v>
      </c>
      <c r="P58" s="65">
        <v>0</v>
      </c>
      <c r="Q58" s="1"/>
      <c r="R58" s="37">
        <f>F59+F60+F62+F63</f>
        <v>1345200</v>
      </c>
    </row>
    <row r="59" spans="1:18" ht="28.5" customHeight="1" thickBot="1">
      <c r="A59" s="60" t="s">
        <v>91</v>
      </c>
      <c r="B59" s="396" t="s">
        <v>92</v>
      </c>
      <c r="C59" s="397"/>
      <c r="D59" s="398"/>
      <c r="E59" s="156">
        <v>20000</v>
      </c>
      <c r="F59" s="31">
        <f>363000+E59</f>
        <v>383000</v>
      </c>
      <c r="G59" s="74"/>
      <c r="H59" s="74">
        <v>86873.95</v>
      </c>
      <c r="I59" s="74"/>
      <c r="J59" s="33"/>
      <c r="K59" s="33">
        <f>G59+H59+I59</f>
        <v>86873.95</v>
      </c>
      <c r="L59" s="33">
        <f>363630.8+K59</f>
        <v>450504.75</v>
      </c>
      <c r="M59" s="34">
        <f t="shared" si="6"/>
        <v>-66873.95</v>
      </c>
      <c r="N59" s="35">
        <f t="shared" si="6"/>
        <v>-67504.75</v>
      </c>
      <c r="O59" s="64">
        <v>0</v>
      </c>
      <c r="P59" s="65">
        <v>0</v>
      </c>
      <c r="Q59" s="1"/>
      <c r="R59" s="80"/>
    </row>
    <row r="60" spans="1:18" ht="18.75" customHeight="1" thickBot="1">
      <c r="A60" s="60" t="s">
        <v>93</v>
      </c>
      <c r="B60" s="325" t="s">
        <v>94</v>
      </c>
      <c r="C60" s="326"/>
      <c r="D60" s="327"/>
      <c r="E60" s="152"/>
      <c r="F60" s="31">
        <f>830000+E60</f>
        <v>830000</v>
      </c>
      <c r="G60" s="74"/>
      <c r="H60" s="74"/>
      <c r="I60" s="74"/>
      <c r="J60" s="33"/>
      <c r="K60" s="33">
        <f>0+G60</f>
        <v>0</v>
      </c>
      <c r="L60" s="33">
        <f>940885.96+K60</f>
        <v>940885.96</v>
      </c>
      <c r="M60" s="34">
        <f t="shared" si="6"/>
        <v>0</v>
      </c>
      <c r="N60" s="63">
        <f t="shared" si="6"/>
        <v>-110885.95999999996</v>
      </c>
      <c r="O60" s="64">
        <v>0</v>
      </c>
      <c r="P60" s="65">
        <v>0</v>
      </c>
      <c r="Q60" s="1"/>
      <c r="R60" s="37"/>
    </row>
    <row r="61" spans="1:18" ht="18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0+G61</f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21" customHeight="1" thickBot="1">
      <c r="A62" s="60" t="s">
        <v>96</v>
      </c>
      <c r="B62" s="325" t="s">
        <v>97</v>
      </c>
      <c r="C62" s="326"/>
      <c r="D62" s="327"/>
      <c r="E62" s="152">
        <v>5900</v>
      </c>
      <c r="F62" s="31">
        <f>63900+E62</f>
        <v>69800</v>
      </c>
      <c r="G62" s="83"/>
      <c r="H62" s="74">
        <v>12760.69</v>
      </c>
      <c r="I62" s="74"/>
      <c r="J62" s="74"/>
      <c r="K62" s="33">
        <f>0+J62+G62+H62</f>
        <v>12760.69</v>
      </c>
      <c r="L62" s="33">
        <f>29944.15+K62</f>
        <v>42704.840000000004</v>
      </c>
      <c r="M62" s="34">
        <f t="shared" si="6"/>
        <v>-6860.6900000000005</v>
      </c>
      <c r="N62" s="63">
        <f t="shared" si="6"/>
        <v>27095.159999999996</v>
      </c>
      <c r="O62" s="64">
        <v>0</v>
      </c>
      <c r="P62" s="65">
        <v>0</v>
      </c>
      <c r="Q62" s="1"/>
      <c r="R62" s="1"/>
    </row>
    <row r="63" spans="1:18" ht="30.75" customHeight="1" thickBot="1">
      <c r="A63" s="60" t="s">
        <v>98</v>
      </c>
      <c r="B63" s="325" t="s">
        <v>99</v>
      </c>
      <c r="C63" s="326"/>
      <c r="D63" s="327"/>
      <c r="E63" s="152">
        <v>5200</v>
      </c>
      <c r="F63" s="31">
        <f>57200+E63</f>
        <v>62400</v>
      </c>
      <c r="G63" s="85"/>
      <c r="H63" s="74">
        <v>11136.61</v>
      </c>
      <c r="I63" s="74"/>
      <c r="J63" s="74"/>
      <c r="K63" s="33">
        <f>0+J63+G63+H63</f>
        <v>11136.61</v>
      </c>
      <c r="L63" s="33">
        <f>26114.82+K63</f>
        <v>37251.43</v>
      </c>
      <c r="M63" s="34">
        <f t="shared" si="6"/>
        <v>-5936.610000000001</v>
      </c>
      <c r="N63" s="63">
        <f t="shared" si="6"/>
        <v>25148.57</v>
      </c>
      <c r="O63" s="64">
        <v>0</v>
      </c>
      <c r="P63" s="65">
        <v>0</v>
      </c>
      <c r="Q63" s="1"/>
      <c r="R63" s="1"/>
    </row>
    <row r="64" spans="1:18" ht="45" customHeight="1" thickBot="1">
      <c r="A64" s="86" t="s">
        <v>100</v>
      </c>
      <c r="B64" s="382" t="s">
        <v>101</v>
      </c>
      <c r="C64" s="383"/>
      <c r="D64" s="384"/>
      <c r="E64" s="53">
        <f>E65</f>
        <v>0</v>
      </c>
      <c r="F64" s="73">
        <f>F65+F66</f>
        <v>522900</v>
      </c>
      <c r="G64" s="75">
        <f>G65+G66</f>
        <v>21000</v>
      </c>
      <c r="H64" s="55"/>
      <c r="I64" s="55">
        <f>I66</f>
        <v>0</v>
      </c>
      <c r="J64" s="55">
        <f>J65+J66</f>
        <v>0</v>
      </c>
      <c r="K64" s="55">
        <f>K65+K66</f>
        <v>21000</v>
      </c>
      <c r="L64" s="55">
        <f>L65+L66</f>
        <v>27700</v>
      </c>
      <c r="M64" s="56">
        <f t="shared" si="6"/>
        <v>-21000</v>
      </c>
      <c r="N64" s="70">
        <f t="shared" si="6"/>
        <v>495200</v>
      </c>
      <c r="O64" s="58">
        <v>0</v>
      </c>
      <c r="P64" s="59">
        <v>0</v>
      </c>
      <c r="Q64" s="1"/>
      <c r="R64" s="1"/>
    </row>
    <row r="65" spans="1:18" ht="30" customHeight="1" thickBot="1">
      <c r="A65" s="60" t="s">
        <v>102</v>
      </c>
      <c r="B65" s="301" t="s">
        <v>53</v>
      </c>
      <c r="C65" s="302"/>
      <c r="D65" s="303"/>
      <c r="E65" s="45"/>
      <c r="F65" s="31">
        <f>522900+E65</f>
        <v>522900</v>
      </c>
      <c r="G65" s="74">
        <v>21000</v>
      </c>
      <c r="H65" s="33"/>
      <c r="I65" s="33"/>
      <c r="J65" s="33"/>
      <c r="K65" s="33">
        <f>0+G65</f>
        <v>21000</v>
      </c>
      <c r="L65" s="33">
        <f>6700+K65</f>
        <v>27700</v>
      </c>
      <c r="M65" s="34">
        <f t="shared" si="6"/>
        <v>-21000</v>
      </c>
      <c r="N65" s="35">
        <f t="shared" si="6"/>
        <v>495200</v>
      </c>
      <c r="O65" s="64">
        <v>0</v>
      </c>
      <c r="P65" s="65">
        <v>0</v>
      </c>
      <c r="Q65" s="1"/>
      <c r="R65" s="1"/>
    </row>
    <row r="66" spans="1:18" ht="15.75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0.75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316250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25730+K67</f>
        <v>25730</v>
      </c>
      <c r="M67" s="56">
        <f t="shared" si="6"/>
        <v>0</v>
      </c>
      <c r="N67" s="70">
        <f t="shared" si="6"/>
        <v>290520</v>
      </c>
      <c r="O67" s="58">
        <v>0</v>
      </c>
      <c r="P67" s="59">
        <v>0</v>
      </c>
      <c r="Q67" s="1"/>
      <c r="R67" s="37"/>
    </row>
    <row r="68" spans="1:18" ht="30.75" customHeight="1" thickBot="1">
      <c r="A68" s="60" t="s">
        <v>107</v>
      </c>
      <c r="B68" s="319" t="s">
        <v>53</v>
      </c>
      <c r="C68" s="320"/>
      <c r="D68" s="321"/>
      <c r="E68" s="61"/>
      <c r="F68" s="31">
        <f>316250+E68</f>
        <v>316250</v>
      </c>
      <c r="G68" s="74"/>
      <c r="H68" s="33"/>
      <c r="I68" s="33"/>
      <c r="J68" s="33"/>
      <c r="K68" s="33">
        <f>G68</f>
        <v>0</v>
      </c>
      <c r="L68" s="33">
        <f>1000+K68</f>
        <v>1000</v>
      </c>
      <c r="M68" s="34">
        <f>E68-K68</f>
        <v>0</v>
      </c>
      <c r="N68" s="35">
        <f t="shared" si="6"/>
        <v>315250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391" t="s">
        <v>104</v>
      </c>
      <c r="C69" s="392"/>
      <c r="D69" s="466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>E69-K69</f>
        <v>0</v>
      </c>
      <c r="N69" s="35">
        <f t="shared" si="6"/>
        <v>-24730</v>
      </c>
      <c r="O69" s="64">
        <v>0</v>
      </c>
      <c r="P69" s="65">
        <v>0</v>
      </c>
      <c r="Q69" s="1"/>
      <c r="R69" s="37"/>
    </row>
    <row r="70" spans="1:18" ht="30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1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24000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47057.34</v>
      </c>
      <c r="M71" s="56">
        <f t="shared" si="6"/>
        <v>3000</v>
      </c>
      <c r="N71" s="70">
        <f t="shared" si="6"/>
        <v>-23057.339999999997</v>
      </c>
      <c r="O71" s="58">
        <v>0</v>
      </c>
      <c r="P71" s="59">
        <v>0</v>
      </c>
      <c r="Q71" s="1"/>
      <c r="R71" s="1"/>
    </row>
    <row r="72" spans="1:18" ht="27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21000+E72</f>
        <v>24000</v>
      </c>
      <c r="G72" s="74"/>
      <c r="H72" s="33"/>
      <c r="I72" s="33"/>
      <c r="J72" s="33"/>
      <c r="K72" s="33">
        <f>G72</f>
        <v>0</v>
      </c>
      <c r="L72" s="33">
        <f>47057.34+K72</f>
        <v>47057.34</v>
      </c>
      <c r="M72" s="34">
        <f aca="true" t="shared" si="7" ref="M72:N82">E72-K72</f>
        <v>3000</v>
      </c>
      <c r="N72" s="35">
        <f t="shared" si="7"/>
        <v>-23057.339999999997</v>
      </c>
      <c r="O72" s="64">
        <v>0</v>
      </c>
      <c r="P72" s="65">
        <v>0</v>
      </c>
      <c r="Q72" s="1"/>
      <c r="R72" s="1"/>
    </row>
    <row r="73" spans="1:18" ht="15.7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379" t="s">
        <v>113</v>
      </c>
      <c r="C74" s="380"/>
      <c r="D74" s="381"/>
      <c r="E74" s="53">
        <f>E75</f>
        <v>15000</v>
      </c>
      <c r="F74" s="73">
        <f>F75+F76</f>
        <v>137000</v>
      </c>
      <c r="G74" s="75">
        <f>G75+G76+G77</f>
        <v>8712.5</v>
      </c>
      <c r="H74" s="55"/>
      <c r="I74" s="55">
        <f>I75+I76</f>
        <v>0</v>
      </c>
      <c r="J74" s="55"/>
      <c r="K74" s="55">
        <f>K75+K76+K77</f>
        <v>8712.5</v>
      </c>
      <c r="L74" s="55">
        <f>L75+L76+L77</f>
        <v>39910.22</v>
      </c>
      <c r="M74" s="56">
        <f t="shared" si="7"/>
        <v>6287.5</v>
      </c>
      <c r="N74" s="70">
        <f t="shared" si="7"/>
        <v>97089.78</v>
      </c>
      <c r="O74" s="58">
        <v>0</v>
      </c>
      <c r="P74" s="59">
        <v>0</v>
      </c>
      <c r="Q74" s="1"/>
      <c r="R74" s="1"/>
    </row>
    <row r="75" spans="1:18" ht="28.5" customHeight="1" thickBot="1">
      <c r="A75" s="60" t="s">
        <v>114</v>
      </c>
      <c r="B75" s="301" t="s">
        <v>53</v>
      </c>
      <c r="C75" s="302"/>
      <c r="D75" s="303"/>
      <c r="E75" s="61">
        <v>15000</v>
      </c>
      <c r="F75" s="31">
        <f>122000+E75</f>
        <v>137000</v>
      </c>
      <c r="G75" s="74">
        <v>8712.5</v>
      </c>
      <c r="H75" s="33"/>
      <c r="I75" s="33"/>
      <c r="J75" s="33"/>
      <c r="K75" s="33">
        <f>G75</f>
        <v>8712.5</v>
      </c>
      <c r="L75" s="33">
        <f>28197.72+K75</f>
        <v>36910.22</v>
      </c>
      <c r="M75" s="34">
        <f>E75-K75</f>
        <v>6287.5</v>
      </c>
      <c r="N75" s="35">
        <f t="shared" si="7"/>
        <v>100089.78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391" t="s">
        <v>104</v>
      </c>
      <c r="C76" s="392"/>
      <c r="D76" s="466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7"/>
        <v>0</v>
      </c>
      <c r="N76" s="35">
        <f t="shared" si="7"/>
        <v>-3000</v>
      </c>
      <c r="O76" s="64">
        <v>0</v>
      </c>
      <c r="P76" s="65">
        <v>0</v>
      </c>
      <c r="Q76" s="1"/>
      <c r="R76" s="1"/>
    </row>
    <row r="77" spans="1:18" ht="18.75" customHeight="1" thickBot="1">
      <c r="A77" s="60" t="s">
        <v>116</v>
      </c>
      <c r="B77" s="476" t="s">
        <v>55</v>
      </c>
      <c r="C77" s="477"/>
      <c r="D77" s="478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55.5" customHeight="1" thickBot="1">
      <c r="A78" s="69" t="s">
        <v>117</v>
      </c>
      <c r="B78" s="357" t="s">
        <v>118</v>
      </c>
      <c r="C78" s="358"/>
      <c r="D78" s="359"/>
      <c r="E78" s="53">
        <f>E79</f>
        <v>0</v>
      </c>
      <c r="F78" s="73">
        <f>F79</f>
        <v>2500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7"/>
        <v>0</v>
      </c>
      <c r="N78" s="70">
        <f t="shared" si="7"/>
        <v>2500</v>
      </c>
      <c r="O78" s="58">
        <v>0</v>
      </c>
      <c r="P78" s="59">
        <v>0</v>
      </c>
      <c r="Q78" s="1"/>
      <c r="R78" s="1"/>
    </row>
    <row r="79" spans="1:18" ht="30" customHeight="1" thickBot="1">
      <c r="A79" s="60" t="s">
        <v>119</v>
      </c>
      <c r="B79" s="301" t="s">
        <v>53</v>
      </c>
      <c r="C79" s="302"/>
      <c r="D79" s="303"/>
      <c r="E79" s="81">
        <v>0</v>
      </c>
      <c r="F79" s="31">
        <f>2500+E79</f>
        <v>2500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0</v>
      </c>
      <c r="N79" s="35">
        <f t="shared" si="7"/>
        <v>2500</v>
      </c>
      <c r="O79" s="64">
        <v>0</v>
      </c>
      <c r="P79" s="65">
        <v>0</v>
      </c>
      <c r="Q79" s="1"/>
      <c r="R79" s="1"/>
    </row>
    <row r="80" spans="1:18" ht="23.2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15152.88</v>
      </c>
      <c r="M80" s="56">
        <f t="shared" si="7"/>
        <v>0</v>
      </c>
      <c r="N80" s="70">
        <f t="shared" si="7"/>
        <v>3347.120000000001</v>
      </c>
      <c r="O80" s="58">
        <v>0</v>
      </c>
      <c r="P80" s="59">
        <v>0</v>
      </c>
      <c r="Q80" s="1"/>
      <c r="R80" s="1"/>
    </row>
    <row r="81" spans="1:18" ht="27" customHeight="1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15152.88+L82</f>
        <v>15152.88</v>
      </c>
      <c r="M81" s="34">
        <f t="shared" si="7"/>
        <v>0</v>
      </c>
      <c r="N81" s="35">
        <f t="shared" si="7"/>
        <v>3347.120000000001</v>
      </c>
      <c r="O81" s="64">
        <v>0</v>
      </c>
      <c r="P81" s="65">
        <v>0</v>
      </c>
      <c r="Q81" s="1"/>
      <c r="R81" s="1"/>
    </row>
    <row r="82" spans="1:18" ht="20.25" customHeight="1" thickBot="1">
      <c r="A82" s="60" t="s">
        <v>123</v>
      </c>
      <c r="B82" s="391" t="s">
        <v>55</v>
      </c>
      <c r="C82" s="392"/>
      <c r="D82" s="466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.75" customHeight="1" thickBot="1">
      <c r="A83" s="360"/>
      <c r="B83" s="368" t="s">
        <v>14</v>
      </c>
      <c r="C83" s="369"/>
      <c r="D83" s="370"/>
      <c r="E83" s="374" t="s">
        <v>24</v>
      </c>
      <c r="F83" s="376" t="s">
        <v>25</v>
      </c>
      <c r="G83" s="296" t="s">
        <v>44</v>
      </c>
      <c r="H83" s="378"/>
      <c r="I83" s="378"/>
      <c r="J83" s="378"/>
      <c r="K83" s="297"/>
      <c r="L83" s="355" t="s">
        <v>16</v>
      </c>
      <c r="M83" s="355" t="s">
        <v>17</v>
      </c>
      <c r="N83" s="355" t="s">
        <v>18</v>
      </c>
      <c r="O83" s="355" t="s">
        <v>19</v>
      </c>
      <c r="P83" s="355" t="s">
        <v>20</v>
      </c>
      <c r="Q83" s="1"/>
      <c r="R83" s="1"/>
    </row>
    <row r="84" spans="1:18" ht="77.25" customHeight="1" thickBot="1">
      <c r="A84" s="361"/>
      <c r="B84" s="371"/>
      <c r="C84" s="372"/>
      <c r="D84" s="373"/>
      <c r="E84" s="375"/>
      <c r="F84" s="377"/>
      <c r="G84" s="256" t="s">
        <v>45</v>
      </c>
      <c r="H84" s="256" t="s">
        <v>46</v>
      </c>
      <c r="I84" s="256" t="s">
        <v>47</v>
      </c>
      <c r="J84" s="7" t="s">
        <v>124</v>
      </c>
      <c r="K84" s="8" t="s">
        <v>27</v>
      </c>
      <c r="L84" s="356"/>
      <c r="M84" s="356"/>
      <c r="N84" s="356"/>
      <c r="O84" s="356"/>
      <c r="P84" s="356"/>
      <c r="Q84" s="1"/>
      <c r="R84" s="1" t="s">
        <v>210</v>
      </c>
    </row>
    <row r="85" spans="1:18" ht="15.75" thickBot="1">
      <c r="A85" s="60"/>
      <c r="B85" s="316">
        <v>1</v>
      </c>
      <c r="C85" s="317"/>
      <c r="D85" s="318"/>
      <c r="E85" s="17" t="s">
        <v>22</v>
      </c>
      <c r="F85" s="256">
        <v>3</v>
      </c>
      <c r="G85" s="256">
        <v>4</v>
      </c>
      <c r="H85" s="256">
        <v>5</v>
      </c>
      <c r="I85" s="7">
        <v>6</v>
      </c>
      <c r="J85" s="7">
        <v>7</v>
      </c>
      <c r="K85" s="48">
        <v>8</v>
      </c>
      <c r="L85" s="259">
        <v>9</v>
      </c>
      <c r="M85" s="7">
        <v>10</v>
      </c>
      <c r="N85" s="259">
        <v>11</v>
      </c>
      <c r="O85" s="7">
        <v>12</v>
      </c>
      <c r="P85" s="259">
        <v>13</v>
      </c>
      <c r="Q85" s="1"/>
      <c r="R85" s="1"/>
    </row>
    <row r="86" spans="1:18" ht="42.75" customHeight="1" thickBot="1">
      <c r="A86" s="51" t="s">
        <v>125</v>
      </c>
      <c r="B86" s="357" t="s">
        <v>126</v>
      </c>
      <c r="C86" s="358"/>
      <c r="D86" s="359"/>
      <c r="E86" s="53">
        <f>E87</f>
        <v>27450</v>
      </c>
      <c r="F86" s="73">
        <f>F87+F88+F89+F90</f>
        <v>252600</v>
      </c>
      <c r="G86" s="53">
        <f>G87+G88+G89+G90</f>
        <v>26433.85</v>
      </c>
      <c r="H86" s="55"/>
      <c r="I86" s="55">
        <f>I87+I88+I89</f>
        <v>0</v>
      </c>
      <c r="J86" s="55"/>
      <c r="K86" s="93">
        <f>K87+K88+K89+K90</f>
        <v>26433.85</v>
      </c>
      <c r="L86" s="55">
        <f>L87+L88+L89+L90</f>
        <v>185402.40000000002</v>
      </c>
      <c r="M86" s="56">
        <f aca="true" t="shared" si="8" ref="M86:N101">E86-K86</f>
        <v>1016.1500000000015</v>
      </c>
      <c r="N86" s="70">
        <f t="shared" si="8"/>
        <v>67197.59999999998</v>
      </c>
      <c r="O86" s="58">
        <v>0</v>
      </c>
      <c r="P86" s="59">
        <v>0</v>
      </c>
      <c r="Q86" s="37"/>
      <c r="R86" s="1"/>
    </row>
    <row r="87" spans="1:18" ht="29.25" customHeight="1" thickBot="1">
      <c r="A87" s="60" t="s">
        <v>127</v>
      </c>
      <c r="B87" s="301" t="s">
        <v>53</v>
      </c>
      <c r="C87" s="302"/>
      <c r="D87" s="303"/>
      <c r="E87" s="61">
        <f>E91+E92+E94+E95+E96+E98+E97+E93</f>
        <v>27450</v>
      </c>
      <c r="F87" s="31">
        <f>225150+E87</f>
        <v>252600</v>
      </c>
      <c r="G87" s="45">
        <f>G92+G94+G95+G96+G91+G98</f>
        <v>26433.85</v>
      </c>
      <c r="H87" s="33"/>
      <c r="I87" s="33"/>
      <c r="J87" s="33"/>
      <c r="K87" s="94">
        <f>G87</f>
        <v>26433.85</v>
      </c>
      <c r="L87" s="33">
        <f>L91+L92+L94+L95+L96+L97+L98+L93-59.4-95.55</f>
        <v>185162.36000000002</v>
      </c>
      <c r="M87" s="34">
        <f t="shared" si="8"/>
        <v>1016.1500000000015</v>
      </c>
      <c r="N87" s="35">
        <f t="shared" si="8"/>
        <v>67437.63999999998</v>
      </c>
      <c r="O87" s="64">
        <v>0</v>
      </c>
      <c r="P87" s="65">
        <v>0</v>
      </c>
      <c r="Q87" s="37"/>
      <c r="R87" s="1"/>
    </row>
    <row r="88" spans="1:18" ht="18.75" customHeight="1" thickBot="1">
      <c r="A88" s="60" t="s">
        <v>128</v>
      </c>
      <c r="B88" s="351" t="s">
        <v>51</v>
      </c>
      <c r="C88" s="352"/>
      <c r="D88" s="353"/>
      <c r="E88" s="61"/>
      <c r="F88" s="31"/>
      <c r="G88" s="45"/>
      <c r="H88" s="33"/>
      <c r="I88" s="33"/>
      <c r="J88" s="33"/>
      <c r="K88" s="94">
        <f aca="true" t="shared" si="9" ref="K88:K97">G88</f>
        <v>0</v>
      </c>
      <c r="L88" s="33"/>
      <c r="M88" s="34">
        <f t="shared" si="8"/>
        <v>0</v>
      </c>
      <c r="N88" s="35">
        <f t="shared" si="8"/>
        <v>0</v>
      </c>
      <c r="O88" s="64">
        <v>0</v>
      </c>
      <c r="P88" s="65">
        <v>0</v>
      </c>
      <c r="Q88" s="37"/>
      <c r="R88" s="1"/>
    </row>
    <row r="89" spans="1:18" ht="30.75" customHeight="1" thickBot="1">
      <c r="A89" s="60" t="s">
        <v>129</v>
      </c>
      <c r="B89" s="301" t="s">
        <v>104</v>
      </c>
      <c r="C89" s="302"/>
      <c r="D89" s="303"/>
      <c r="E89" s="61"/>
      <c r="F89" s="31"/>
      <c r="G89" s="45"/>
      <c r="H89" s="33"/>
      <c r="I89" s="33">
        <f>I95</f>
        <v>0</v>
      </c>
      <c r="J89" s="33"/>
      <c r="K89" s="94">
        <f>I89</f>
        <v>0</v>
      </c>
      <c r="L89" s="33">
        <f>59.4+K89</f>
        <v>59.4</v>
      </c>
      <c r="M89" s="34">
        <f t="shared" si="8"/>
        <v>0</v>
      </c>
      <c r="N89" s="35">
        <f t="shared" si="8"/>
        <v>-59.4</v>
      </c>
      <c r="O89" s="64">
        <v>0</v>
      </c>
      <c r="P89" s="65">
        <v>0</v>
      </c>
      <c r="Q89" s="37"/>
      <c r="R89" s="1"/>
    </row>
    <row r="90" spans="1:18" ht="15.75" customHeight="1" thickBot="1">
      <c r="A90" s="60" t="s">
        <v>130</v>
      </c>
      <c r="B90" s="476" t="s">
        <v>55</v>
      </c>
      <c r="C90" s="477"/>
      <c r="D90" s="478"/>
      <c r="E90" s="61"/>
      <c r="F90" s="31"/>
      <c r="G90" s="45"/>
      <c r="H90" s="33"/>
      <c r="I90" s="33"/>
      <c r="J90" s="33"/>
      <c r="K90" s="94">
        <f t="shared" si="9"/>
        <v>0</v>
      </c>
      <c r="L90" s="33">
        <f>180.64+K90</f>
        <v>180.64</v>
      </c>
      <c r="M90" s="34">
        <f t="shared" si="8"/>
        <v>0</v>
      </c>
      <c r="N90" s="35">
        <f t="shared" si="8"/>
        <v>-180.64</v>
      </c>
      <c r="O90" s="64">
        <v>0</v>
      </c>
      <c r="P90" s="65">
        <v>0</v>
      </c>
      <c r="Q90" s="37"/>
      <c r="R90" s="80">
        <f>L91+L92+L93+L94+L95+L96+L97+L98</f>
        <v>185317.31</v>
      </c>
    </row>
    <row r="91" spans="1:18" ht="15.75" customHeight="1" thickBot="1">
      <c r="A91" s="60" t="s">
        <v>131</v>
      </c>
      <c r="B91" s="308" t="s">
        <v>132</v>
      </c>
      <c r="C91" s="309"/>
      <c r="D91" s="310"/>
      <c r="E91" s="152">
        <v>3150</v>
      </c>
      <c r="F91" s="31">
        <f>22050+E91</f>
        <v>25200</v>
      </c>
      <c r="G91" s="45">
        <v>6000</v>
      </c>
      <c r="H91" s="74"/>
      <c r="I91" s="74"/>
      <c r="J91" s="74"/>
      <c r="K91" s="94">
        <f t="shared" si="9"/>
        <v>6000</v>
      </c>
      <c r="L91" s="33">
        <f>18000+K91</f>
        <v>24000</v>
      </c>
      <c r="M91" s="34">
        <f t="shared" si="8"/>
        <v>-2850</v>
      </c>
      <c r="N91" s="35">
        <f t="shared" si="8"/>
        <v>1200</v>
      </c>
      <c r="O91" s="64">
        <v>0</v>
      </c>
      <c r="P91" s="65">
        <v>0</v>
      </c>
      <c r="Q91" s="1"/>
      <c r="R91" s="37">
        <f>L87+L88+L89+L90</f>
        <v>185402.40000000002</v>
      </c>
    </row>
    <row r="92" spans="1:18" ht="30" customHeight="1" thickBot="1">
      <c r="A92" s="60" t="s">
        <v>133</v>
      </c>
      <c r="B92" s="322" t="s">
        <v>134</v>
      </c>
      <c r="C92" s="323"/>
      <c r="D92" s="324"/>
      <c r="E92" s="156">
        <v>4800</v>
      </c>
      <c r="F92" s="31">
        <f>33600+E92</f>
        <v>38400</v>
      </c>
      <c r="G92" s="45">
        <v>5000</v>
      </c>
      <c r="H92" s="74"/>
      <c r="I92" s="74"/>
      <c r="J92" s="74"/>
      <c r="K92" s="94">
        <f>G92</f>
        <v>5000</v>
      </c>
      <c r="L92" s="33">
        <f>9450+K92</f>
        <v>14450</v>
      </c>
      <c r="M92" s="34">
        <f t="shared" si="8"/>
        <v>-200</v>
      </c>
      <c r="N92" s="35">
        <f t="shared" si="8"/>
        <v>23950</v>
      </c>
      <c r="O92" s="64">
        <v>0</v>
      </c>
      <c r="P92" s="65">
        <v>0</v>
      </c>
      <c r="Q92" s="1"/>
      <c r="R92" s="1"/>
    </row>
    <row r="93" spans="1:18" ht="31.5" customHeight="1" thickBot="1">
      <c r="A93" s="60" t="s">
        <v>135</v>
      </c>
      <c r="B93" s="308" t="s">
        <v>136</v>
      </c>
      <c r="C93" s="309"/>
      <c r="D93" s="310"/>
      <c r="E93" s="152"/>
      <c r="F93" s="31">
        <f>0+E93</f>
        <v>0</v>
      </c>
      <c r="G93" s="45"/>
      <c r="H93" s="74"/>
      <c r="I93" s="74"/>
      <c r="J93" s="74"/>
      <c r="K93" s="94">
        <f t="shared" si="9"/>
        <v>0</v>
      </c>
      <c r="L93" s="33">
        <f>0+K93</f>
        <v>0</v>
      </c>
      <c r="M93" s="34">
        <f t="shared" si="8"/>
        <v>0</v>
      </c>
      <c r="N93" s="35">
        <f t="shared" si="8"/>
        <v>0</v>
      </c>
      <c r="O93" s="64">
        <v>0</v>
      </c>
      <c r="P93" s="65">
        <v>0</v>
      </c>
      <c r="Q93" s="1"/>
      <c r="R93" s="1"/>
    </row>
    <row r="94" spans="1:18" ht="29.25" customHeight="1" thickBot="1">
      <c r="A94" s="60" t="s">
        <v>137</v>
      </c>
      <c r="B94" s="308" t="s">
        <v>138</v>
      </c>
      <c r="C94" s="309"/>
      <c r="D94" s="310"/>
      <c r="E94" s="156">
        <v>1300</v>
      </c>
      <c r="F94" s="31">
        <f>9100+E94</f>
        <v>10400</v>
      </c>
      <c r="G94" s="45">
        <v>510</v>
      </c>
      <c r="H94" s="74"/>
      <c r="I94" s="74"/>
      <c r="J94" s="74"/>
      <c r="K94" s="94">
        <f t="shared" si="9"/>
        <v>510</v>
      </c>
      <c r="L94" s="33">
        <f>16775+K94</f>
        <v>17285</v>
      </c>
      <c r="M94" s="34">
        <f t="shared" si="8"/>
        <v>790</v>
      </c>
      <c r="N94" s="35">
        <f t="shared" si="8"/>
        <v>-6885</v>
      </c>
      <c r="O94" s="64">
        <v>0</v>
      </c>
      <c r="P94" s="65">
        <v>0</v>
      </c>
      <c r="Q94" s="1"/>
      <c r="R94" s="1"/>
    </row>
    <row r="95" spans="1:18" ht="18" customHeight="1" thickBot="1">
      <c r="A95" s="60" t="s">
        <v>139</v>
      </c>
      <c r="B95" s="308" t="s">
        <v>140</v>
      </c>
      <c r="C95" s="309"/>
      <c r="D95" s="310"/>
      <c r="E95" s="152">
        <v>5000</v>
      </c>
      <c r="F95" s="31">
        <f>47000+E95</f>
        <v>52000</v>
      </c>
      <c r="G95" s="45">
        <v>3247.25</v>
      </c>
      <c r="H95" s="74"/>
      <c r="I95" s="74"/>
      <c r="J95" s="74"/>
      <c r="K95" s="94">
        <f>G95+I95</f>
        <v>3247.25</v>
      </c>
      <c r="L95" s="33">
        <f>43460.08+K95</f>
        <v>46707.33</v>
      </c>
      <c r="M95" s="34">
        <f t="shared" si="8"/>
        <v>1752.75</v>
      </c>
      <c r="N95" s="35">
        <f t="shared" si="8"/>
        <v>5292.669999999998</v>
      </c>
      <c r="O95" s="64">
        <v>0</v>
      </c>
      <c r="P95" s="65">
        <v>0</v>
      </c>
      <c r="Q95" s="1"/>
      <c r="R95" s="71">
        <f>F91+F92+F93+F94+F95+F96+F97+F98</f>
        <v>252600</v>
      </c>
    </row>
    <row r="96" spans="1:16" ht="20.25" customHeight="1" thickBot="1">
      <c r="A96" s="60" t="s">
        <v>141</v>
      </c>
      <c r="B96" s="463" t="s">
        <v>142</v>
      </c>
      <c r="C96" s="464"/>
      <c r="D96" s="465"/>
      <c r="E96" s="152">
        <v>3300</v>
      </c>
      <c r="F96" s="31">
        <f>23100+E96</f>
        <v>26400</v>
      </c>
      <c r="G96" s="45">
        <v>5000</v>
      </c>
      <c r="H96" s="74"/>
      <c r="I96" s="74"/>
      <c r="J96" s="74"/>
      <c r="K96" s="94">
        <f t="shared" si="9"/>
        <v>5000</v>
      </c>
      <c r="L96" s="33">
        <f>11500+K96</f>
        <v>16500</v>
      </c>
      <c r="M96" s="34">
        <f t="shared" si="8"/>
        <v>-1700</v>
      </c>
      <c r="N96" s="35">
        <f t="shared" si="8"/>
        <v>9900</v>
      </c>
      <c r="O96" s="64">
        <v>0</v>
      </c>
      <c r="P96" s="65">
        <v>0</v>
      </c>
    </row>
    <row r="97" spans="1:16" ht="30" customHeight="1" thickBot="1">
      <c r="A97" s="60" t="s">
        <v>143</v>
      </c>
      <c r="B97" s="308" t="s">
        <v>144</v>
      </c>
      <c r="C97" s="309"/>
      <c r="D97" s="310"/>
      <c r="E97" s="152"/>
      <c r="F97" s="31">
        <f>21000+E97</f>
        <v>21000</v>
      </c>
      <c r="G97" s="45"/>
      <c r="H97" s="74"/>
      <c r="I97" s="74"/>
      <c r="J97" s="74"/>
      <c r="K97" s="94">
        <f t="shared" si="9"/>
        <v>0</v>
      </c>
      <c r="L97" s="33">
        <f>21546+K97</f>
        <v>21546</v>
      </c>
      <c r="M97" s="34">
        <f t="shared" si="8"/>
        <v>0</v>
      </c>
      <c r="N97" s="35">
        <f t="shared" si="8"/>
        <v>-546</v>
      </c>
      <c r="O97" s="64">
        <v>0</v>
      </c>
      <c r="P97" s="65">
        <v>0</v>
      </c>
    </row>
    <row r="98" spans="1:16" ht="20.25" customHeight="1" thickBot="1">
      <c r="A98" s="60" t="s">
        <v>145</v>
      </c>
      <c r="B98" s="308" t="s">
        <v>146</v>
      </c>
      <c r="C98" s="309"/>
      <c r="D98" s="310"/>
      <c r="E98" s="152">
        <v>9900</v>
      </c>
      <c r="F98" s="31">
        <f>69300+E98</f>
        <v>79200</v>
      </c>
      <c r="G98" s="45">
        <v>6676.6</v>
      </c>
      <c r="H98" s="74"/>
      <c r="I98" s="74"/>
      <c r="J98" s="74"/>
      <c r="K98" s="94">
        <f>G98</f>
        <v>6676.6</v>
      </c>
      <c r="L98" s="33">
        <f>38152.38+K98</f>
        <v>44828.979999999996</v>
      </c>
      <c r="M98" s="34">
        <f t="shared" si="8"/>
        <v>3223.3999999999996</v>
      </c>
      <c r="N98" s="35">
        <f t="shared" si="8"/>
        <v>34371.020000000004</v>
      </c>
      <c r="O98" s="64">
        <v>0</v>
      </c>
      <c r="P98" s="65">
        <v>0</v>
      </c>
    </row>
    <row r="99" spans="1:18" ht="32.25" customHeight="1" thickBot="1">
      <c r="A99" s="86" t="s">
        <v>147</v>
      </c>
      <c r="B99" s="354" t="s">
        <v>148</v>
      </c>
      <c r="C99" s="306"/>
      <c r="D99" s="307"/>
      <c r="E99" s="73">
        <f>E100+E101</f>
        <v>8540</v>
      </c>
      <c r="F99" s="73">
        <f>F100+F101+F102+F103</f>
        <v>1292790</v>
      </c>
      <c r="G99" s="73">
        <f>G100+G102+G103</f>
        <v>37924.95</v>
      </c>
      <c r="H99" s="75">
        <f>H101</f>
        <v>0</v>
      </c>
      <c r="I99" s="55">
        <f>I102</f>
        <v>0</v>
      </c>
      <c r="J99" s="55"/>
      <c r="K99" s="73">
        <f>G99+H99+I99+J99</f>
        <v>37924.95</v>
      </c>
      <c r="L99" s="55">
        <f>L100+L101+L102+L103</f>
        <v>570581.1799999999</v>
      </c>
      <c r="M99" s="56">
        <f t="shared" si="8"/>
        <v>-29384.949999999997</v>
      </c>
      <c r="N99" s="70">
        <f t="shared" si="8"/>
        <v>722208.8200000001</v>
      </c>
      <c r="O99" s="58">
        <v>0</v>
      </c>
      <c r="P99" s="59">
        <v>0</v>
      </c>
      <c r="R99" s="95">
        <f>L100+L102-L99</f>
        <v>-399.5200000000186</v>
      </c>
    </row>
    <row r="100" spans="1:18" ht="27.75" customHeight="1" thickBot="1">
      <c r="A100" s="60" t="s">
        <v>149</v>
      </c>
      <c r="B100" s="301" t="s">
        <v>53</v>
      </c>
      <c r="C100" s="302"/>
      <c r="D100" s="303"/>
      <c r="E100" s="61">
        <f>E104+E105+E112+E117+E129+E111+E126+E113+E118+E130</f>
        <v>8540</v>
      </c>
      <c r="F100" s="31">
        <f>1284250+E100</f>
        <v>1292790</v>
      </c>
      <c r="G100" s="74">
        <f>G111++G105+G112+G116+G118+G126+G117+G104+G130</f>
        <v>37924.95</v>
      </c>
      <c r="H100" s="74"/>
      <c r="I100" s="33"/>
      <c r="J100" s="33"/>
      <c r="K100" s="94">
        <f>G100</f>
        <v>37924.95</v>
      </c>
      <c r="L100" s="33">
        <f>532256.71+K100</f>
        <v>570181.6599999999</v>
      </c>
      <c r="M100" s="34">
        <f t="shared" si="8"/>
        <v>-29384.949999999997</v>
      </c>
      <c r="N100" s="35">
        <f t="shared" si="8"/>
        <v>722608.3400000001</v>
      </c>
      <c r="O100" s="64">
        <v>0</v>
      </c>
      <c r="P100" s="65">
        <v>0</v>
      </c>
      <c r="R100" s="95"/>
    </row>
    <row r="101" spans="1:18" ht="18.75" customHeight="1" thickBot="1">
      <c r="A101" s="60" t="s">
        <v>150</v>
      </c>
      <c r="B101" s="351" t="s">
        <v>51</v>
      </c>
      <c r="C101" s="352"/>
      <c r="D101" s="353"/>
      <c r="E101" s="61">
        <f>E127</f>
        <v>0</v>
      </c>
      <c r="F101" s="31">
        <f>0+E101</f>
        <v>0</v>
      </c>
      <c r="G101" s="74"/>
      <c r="H101" s="74">
        <f>H127</f>
        <v>0</v>
      </c>
      <c r="I101" s="33"/>
      <c r="J101" s="33"/>
      <c r="K101" s="94">
        <f>H101</f>
        <v>0</v>
      </c>
      <c r="L101" s="33">
        <f>0+K101</f>
        <v>0</v>
      </c>
      <c r="M101" s="34">
        <f t="shared" si="8"/>
        <v>0</v>
      </c>
      <c r="N101" s="35">
        <f t="shared" si="8"/>
        <v>0</v>
      </c>
      <c r="O101" s="64">
        <v>0</v>
      </c>
      <c r="P101" s="65">
        <v>0</v>
      </c>
      <c r="R101" s="96"/>
    </row>
    <row r="102" spans="1:16" ht="27.75" customHeight="1" thickBot="1">
      <c r="A102" s="60" t="s">
        <v>151</v>
      </c>
      <c r="B102" s="301" t="s">
        <v>104</v>
      </c>
      <c r="C102" s="302"/>
      <c r="D102" s="303"/>
      <c r="E102" s="61"/>
      <c r="F102" s="31"/>
      <c r="G102" s="31"/>
      <c r="H102" s="74"/>
      <c r="I102" s="33">
        <f>I126+I115+I129</f>
        <v>0</v>
      </c>
      <c r="J102" s="33"/>
      <c r="K102" s="94">
        <f>I102</f>
        <v>0</v>
      </c>
      <c r="L102" s="33">
        <f>0+K102</f>
        <v>0</v>
      </c>
      <c r="M102" s="34">
        <f aca="true" t="shared" si="10" ref="M102:N118">E102-K102</f>
        <v>0</v>
      </c>
      <c r="N102" s="35">
        <f t="shared" si="10"/>
        <v>0</v>
      </c>
      <c r="O102" s="64">
        <v>0</v>
      </c>
      <c r="P102" s="65">
        <v>0</v>
      </c>
    </row>
    <row r="103" spans="1:18" ht="18" customHeight="1" thickBot="1">
      <c r="A103" s="60" t="s">
        <v>152</v>
      </c>
      <c r="B103" s="351" t="s">
        <v>55</v>
      </c>
      <c r="C103" s="352"/>
      <c r="D103" s="353"/>
      <c r="E103" s="61"/>
      <c r="F103" s="31"/>
      <c r="G103" s="74"/>
      <c r="H103" s="74"/>
      <c r="I103" s="33"/>
      <c r="J103" s="33"/>
      <c r="K103" s="94">
        <f>G103</f>
        <v>0</v>
      </c>
      <c r="L103" s="33">
        <f>399.52+K103</f>
        <v>399.52</v>
      </c>
      <c r="M103" s="34">
        <f t="shared" si="10"/>
        <v>0</v>
      </c>
      <c r="N103" s="35">
        <f t="shared" si="10"/>
        <v>-399.52</v>
      </c>
      <c r="O103" s="64">
        <v>0</v>
      </c>
      <c r="P103" s="65">
        <v>0</v>
      </c>
      <c r="R103" s="95">
        <f>L104+L111+L112+L116+L117+L129</f>
        <v>74199.37999999999</v>
      </c>
    </row>
    <row r="104" spans="1:16" ht="30.75" customHeight="1" thickBot="1">
      <c r="A104" s="60" t="s">
        <v>153</v>
      </c>
      <c r="B104" s="311" t="s">
        <v>154</v>
      </c>
      <c r="C104" s="312"/>
      <c r="D104" s="313"/>
      <c r="E104" s="31"/>
      <c r="F104" s="31">
        <f>40000+E104</f>
        <v>40000</v>
      </c>
      <c r="G104" s="74"/>
      <c r="H104" s="74"/>
      <c r="I104" s="74"/>
      <c r="J104" s="74"/>
      <c r="K104" s="94">
        <f aca="true" t="shared" si="11" ref="K104:K118">G104</f>
        <v>0</v>
      </c>
      <c r="L104" s="33">
        <f>18100+K104</f>
        <v>18100</v>
      </c>
      <c r="M104" s="34">
        <f t="shared" si="10"/>
        <v>0</v>
      </c>
      <c r="N104" s="35">
        <f t="shared" si="10"/>
        <v>21900</v>
      </c>
      <c r="O104" s="64">
        <v>0</v>
      </c>
      <c r="P104" s="65">
        <v>0</v>
      </c>
    </row>
    <row r="105" spans="1:16" ht="30" customHeight="1" thickBot="1">
      <c r="A105" s="60" t="s">
        <v>155</v>
      </c>
      <c r="B105" s="308" t="s">
        <v>156</v>
      </c>
      <c r="C105" s="309"/>
      <c r="D105" s="310"/>
      <c r="E105" s="31"/>
      <c r="F105" s="31">
        <f>16200+E105</f>
        <v>16200</v>
      </c>
      <c r="G105" s="74">
        <v>2980</v>
      </c>
      <c r="H105" s="74"/>
      <c r="I105" s="74"/>
      <c r="J105" s="74"/>
      <c r="K105" s="94">
        <f t="shared" si="11"/>
        <v>2980</v>
      </c>
      <c r="L105" s="33">
        <f>0+K105</f>
        <v>2980</v>
      </c>
      <c r="M105" s="34">
        <f t="shared" si="10"/>
        <v>-2980</v>
      </c>
      <c r="N105" s="35">
        <f t="shared" si="10"/>
        <v>13220</v>
      </c>
      <c r="O105" s="64">
        <v>0</v>
      </c>
      <c r="P105" s="65">
        <v>0</v>
      </c>
    </row>
    <row r="106" spans="1:16" ht="27.75" customHeight="1" thickBot="1">
      <c r="A106" s="60" t="s">
        <v>157</v>
      </c>
      <c r="B106" s="348" t="s">
        <v>158</v>
      </c>
      <c r="C106" s="349"/>
      <c r="D106" s="350"/>
      <c r="E106" s="31"/>
      <c r="F106" s="31"/>
      <c r="G106" s="74"/>
      <c r="H106" s="74"/>
      <c r="I106" s="74"/>
      <c r="J106" s="74"/>
      <c r="K106" s="94">
        <f t="shared" si="11"/>
        <v>0</v>
      </c>
      <c r="L106" s="33">
        <f>0+K106</f>
        <v>0</v>
      </c>
      <c r="M106" s="34">
        <f t="shared" si="10"/>
        <v>0</v>
      </c>
      <c r="N106" s="35">
        <f t="shared" si="10"/>
        <v>0</v>
      </c>
      <c r="O106" s="64">
        <v>0</v>
      </c>
      <c r="P106" s="65">
        <v>0</v>
      </c>
    </row>
    <row r="107" spans="1:16" ht="21" customHeight="1" thickBot="1">
      <c r="A107" s="60" t="s">
        <v>159</v>
      </c>
      <c r="B107" s="308" t="s">
        <v>160</v>
      </c>
      <c r="C107" s="309"/>
      <c r="D107" s="310"/>
      <c r="E107" s="31"/>
      <c r="F107" s="31"/>
      <c r="G107" s="74"/>
      <c r="H107" s="74"/>
      <c r="I107" s="74"/>
      <c r="J107" s="74"/>
      <c r="K107" s="94">
        <f t="shared" si="11"/>
        <v>0</v>
      </c>
      <c r="L107" s="33">
        <f>0+K107</f>
        <v>0</v>
      </c>
      <c r="M107" s="34">
        <f t="shared" si="10"/>
        <v>0</v>
      </c>
      <c r="N107" s="35">
        <f t="shared" si="10"/>
        <v>0</v>
      </c>
      <c r="O107" s="64">
        <v>0</v>
      </c>
      <c r="P107" s="65">
        <v>0</v>
      </c>
    </row>
    <row r="108" spans="1:18" ht="28.5" customHeight="1" thickBot="1">
      <c r="A108" s="60" t="s">
        <v>161</v>
      </c>
      <c r="B108" s="308" t="s">
        <v>162</v>
      </c>
      <c r="C108" s="309"/>
      <c r="D108" s="310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  <c r="R108" s="96"/>
    </row>
    <row r="109" spans="1:16" ht="28.5" customHeight="1" thickBot="1">
      <c r="A109" s="60" t="s">
        <v>163</v>
      </c>
      <c r="B109" s="348" t="s">
        <v>164</v>
      </c>
      <c r="C109" s="349"/>
      <c r="D109" s="350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7200+K109</f>
        <v>7200</v>
      </c>
      <c r="M109" s="34">
        <f t="shared" si="10"/>
        <v>0</v>
      </c>
      <c r="N109" s="35">
        <f t="shared" si="10"/>
        <v>-7200</v>
      </c>
      <c r="O109" s="64">
        <v>0</v>
      </c>
      <c r="P109" s="65">
        <v>0</v>
      </c>
    </row>
    <row r="110" spans="1:16" ht="28.5" customHeight="1" thickBot="1">
      <c r="A110" s="60" t="s">
        <v>165</v>
      </c>
      <c r="B110" s="308" t="s">
        <v>166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</row>
    <row r="111" spans="1:18" ht="19.5" customHeight="1" thickBot="1">
      <c r="A111" s="60" t="s">
        <v>167</v>
      </c>
      <c r="B111" s="308" t="s">
        <v>168</v>
      </c>
      <c r="C111" s="309"/>
      <c r="D111" s="310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41460.6+K111</f>
        <v>41460.6</v>
      </c>
      <c r="M111" s="34">
        <f t="shared" si="10"/>
        <v>0</v>
      </c>
      <c r="N111" s="35">
        <f t="shared" si="10"/>
        <v>-41460.6</v>
      </c>
      <c r="O111" s="64">
        <v>0</v>
      </c>
      <c r="P111" s="65">
        <v>0</v>
      </c>
      <c r="R111" s="95"/>
    </row>
    <row r="112" spans="1:16" ht="41.25" customHeight="1" thickBot="1">
      <c r="A112" s="60" t="s">
        <v>169</v>
      </c>
      <c r="B112" s="479" t="s">
        <v>170</v>
      </c>
      <c r="C112" s="480"/>
      <c r="D112" s="481"/>
      <c r="E112" s="31">
        <v>3000</v>
      </c>
      <c r="F112" s="31">
        <f>18000+E112</f>
        <v>21000</v>
      </c>
      <c r="G112" s="74"/>
      <c r="H112" s="74"/>
      <c r="I112" s="74"/>
      <c r="J112" s="74"/>
      <c r="K112" s="94">
        <f t="shared" si="11"/>
        <v>0</v>
      </c>
      <c r="L112" s="33">
        <f>8035.3+K112</f>
        <v>8035.3</v>
      </c>
      <c r="M112" s="34">
        <f>E112-K112</f>
        <v>3000</v>
      </c>
      <c r="N112" s="35">
        <f t="shared" si="10"/>
        <v>12964.7</v>
      </c>
      <c r="O112" s="64">
        <v>0</v>
      </c>
      <c r="P112" s="65">
        <v>0</v>
      </c>
    </row>
    <row r="113" spans="1:16" ht="28.5" customHeight="1" thickBot="1">
      <c r="A113" s="60" t="s">
        <v>171</v>
      </c>
      <c r="B113" s="308" t="s">
        <v>172</v>
      </c>
      <c r="C113" s="309"/>
      <c r="D113" s="310"/>
      <c r="E113" s="31"/>
      <c r="F113" s="31">
        <f>166000+E113</f>
        <v>166000</v>
      </c>
      <c r="G113" s="74"/>
      <c r="H113" s="74"/>
      <c r="I113" s="74"/>
      <c r="J113" s="74"/>
      <c r="K113" s="94">
        <f t="shared" si="11"/>
        <v>0</v>
      </c>
      <c r="L113" s="33">
        <f>0+K113</f>
        <v>0</v>
      </c>
      <c r="M113" s="34">
        <f t="shared" si="10"/>
        <v>0</v>
      </c>
      <c r="N113" s="35">
        <f t="shared" si="10"/>
        <v>166000</v>
      </c>
      <c r="O113" s="64">
        <v>0</v>
      </c>
      <c r="P113" s="65">
        <v>0</v>
      </c>
    </row>
    <row r="114" spans="1:16" ht="28.5" customHeight="1" thickBot="1">
      <c r="A114" s="60" t="s">
        <v>173</v>
      </c>
      <c r="B114" s="308" t="s">
        <v>244</v>
      </c>
      <c r="C114" s="309"/>
      <c r="D114" s="310"/>
      <c r="E114" s="31"/>
      <c r="F114" s="31">
        <f>35000+E114</f>
        <v>35000</v>
      </c>
      <c r="G114" s="74"/>
      <c r="H114" s="74"/>
      <c r="I114" s="74"/>
      <c r="J114" s="74"/>
      <c r="K114" s="94">
        <f t="shared" si="11"/>
        <v>0</v>
      </c>
      <c r="L114" s="33">
        <f>5500+K114</f>
        <v>5500</v>
      </c>
      <c r="M114" s="34">
        <f>E114-K114</f>
        <v>0</v>
      </c>
      <c r="N114" s="35">
        <f t="shared" si="10"/>
        <v>29500</v>
      </c>
      <c r="O114" s="64">
        <v>0</v>
      </c>
      <c r="P114" s="65">
        <v>0</v>
      </c>
    </row>
    <row r="115" spans="1:16" ht="28.5" customHeight="1" thickBot="1">
      <c r="A115" s="60"/>
      <c r="B115" s="308" t="s">
        <v>175</v>
      </c>
      <c r="C115" s="309"/>
      <c r="D115" s="310"/>
      <c r="E115" s="31"/>
      <c r="F115" s="31"/>
      <c r="G115" s="74"/>
      <c r="H115" s="74"/>
      <c r="I115" s="74"/>
      <c r="J115" s="74"/>
      <c r="K115" s="94">
        <f>I115</f>
        <v>0</v>
      </c>
      <c r="L115" s="33">
        <f>0+K115</f>
        <v>0</v>
      </c>
      <c r="M115" s="34">
        <f t="shared" si="10"/>
        <v>0</v>
      </c>
      <c r="N115" s="35">
        <f t="shared" si="10"/>
        <v>0</v>
      </c>
      <c r="O115" s="64">
        <v>0</v>
      </c>
      <c r="P115" s="65">
        <v>0</v>
      </c>
    </row>
    <row r="116" spans="1:16" ht="28.5" customHeight="1" thickBot="1">
      <c r="A116" s="60" t="s">
        <v>176</v>
      </c>
      <c r="B116" s="308" t="s">
        <v>177</v>
      </c>
      <c r="C116" s="309"/>
      <c r="D116" s="310"/>
      <c r="E116" s="31"/>
      <c r="F116" s="31"/>
      <c r="G116" s="74">
        <v>20.95</v>
      </c>
      <c r="H116" s="74"/>
      <c r="I116" s="74"/>
      <c r="J116" s="74"/>
      <c r="K116" s="94">
        <f>G116</f>
        <v>20.95</v>
      </c>
      <c r="L116" s="33">
        <f>6582.53+K116</f>
        <v>6603.48</v>
      </c>
      <c r="M116" s="34">
        <f t="shared" si="10"/>
        <v>-20.95</v>
      </c>
      <c r="N116" s="35">
        <f t="shared" si="10"/>
        <v>-6603.48</v>
      </c>
      <c r="O116" s="64">
        <v>0</v>
      </c>
      <c r="P116" s="65">
        <v>0</v>
      </c>
    </row>
    <row r="117" spans="1:18" ht="28.5" customHeight="1" thickBot="1">
      <c r="A117" s="60" t="s">
        <v>178</v>
      </c>
      <c r="B117" s="345" t="s">
        <v>179</v>
      </c>
      <c r="C117" s="346"/>
      <c r="D117" s="347"/>
      <c r="E117" s="31"/>
      <c r="F117" s="31"/>
      <c r="G117" s="74"/>
      <c r="H117" s="74"/>
      <c r="I117" s="74"/>
      <c r="J117" s="74"/>
      <c r="K117" s="94">
        <f>G117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  <c r="R117" s="96">
        <f>F129+F127+F126+F117+F113+F112+F111+F105+F104</f>
        <v>868200</v>
      </c>
    </row>
    <row r="118" spans="1:16" ht="28.5" customHeight="1" thickBot="1">
      <c r="A118" s="97" t="s">
        <v>180</v>
      </c>
      <c r="B118" s="308" t="s">
        <v>181</v>
      </c>
      <c r="C118" s="309"/>
      <c r="D118" s="310"/>
      <c r="E118" s="31"/>
      <c r="F118" s="31">
        <f>9400+E118</f>
        <v>9400</v>
      </c>
      <c r="G118" s="74">
        <v>500</v>
      </c>
      <c r="H118" s="74"/>
      <c r="I118" s="74"/>
      <c r="J118" s="74"/>
      <c r="K118" s="94">
        <f t="shared" si="11"/>
        <v>500</v>
      </c>
      <c r="L118" s="33">
        <f>9250+K118</f>
        <v>9750</v>
      </c>
      <c r="M118" s="34">
        <f t="shared" si="10"/>
        <v>-500</v>
      </c>
      <c r="N118" s="35">
        <f t="shared" si="10"/>
        <v>-350</v>
      </c>
      <c r="O118" s="64">
        <v>0</v>
      </c>
      <c r="P118" s="65">
        <v>0</v>
      </c>
    </row>
    <row r="119" spans="1:16" ht="14.25" customHeight="1" thickBot="1">
      <c r="A119" s="98"/>
      <c r="B119" s="482" t="s">
        <v>43</v>
      </c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9"/>
    </row>
    <row r="120" spans="1:16" ht="15.75" customHeight="1" hidden="1" thickBot="1">
      <c r="A120" s="99"/>
      <c r="B120" s="483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1"/>
    </row>
    <row r="121" spans="1:16" ht="15.75" thickBot="1">
      <c r="A121" s="100"/>
      <c r="B121" s="332" t="s">
        <v>14</v>
      </c>
      <c r="C121" s="333"/>
      <c r="D121" s="334"/>
      <c r="E121" s="338" t="s">
        <v>24</v>
      </c>
      <c r="F121" s="340" t="s">
        <v>25</v>
      </c>
      <c r="G121" s="342" t="s">
        <v>44</v>
      </c>
      <c r="H121" s="343"/>
      <c r="I121" s="343"/>
      <c r="J121" s="343"/>
      <c r="K121" s="344"/>
      <c r="L121" s="314" t="s">
        <v>16</v>
      </c>
      <c r="M121" s="314" t="s">
        <v>17</v>
      </c>
      <c r="N121" s="314" t="s">
        <v>18</v>
      </c>
      <c r="O121" s="314" t="s">
        <v>19</v>
      </c>
      <c r="P121" s="314" t="s">
        <v>20</v>
      </c>
    </row>
    <row r="122" spans="1:16" ht="60" customHeight="1" thickBot="1">
      <c r="A122" s="262"/>
      <c r="B122" s="335"/>
      <c r="C122" s="336"/>
      <c r="D122" s="337"/>
      <c r="E122" s="339"/>
      <c r="F122" s="341"/>
      <c r="G122" s="102" t="s">
        <v>45</v>
      </c>
      <c r="H122" s="102" t="s">
        <v>46</v>
      </c>
      <c r="I122" s="102" t="s">
        <v>47</v>
      </c>
      <c r="J122" s="103" t="s">
        <v>48</v>
      </c>
      <c r="K122" s="104" t="s">
        <v>27</v>
      </c>
      <c r="L122" s="315"/>
      <c r="M122" s="315"/>
      <c r="N122" s="315"/>
      <c r="O122" s="315"/>
      <c r="P122" s="315"/>
    </row>
    <row r="123" spans="1:16" ht="15.75" thickBot="1">
      <c r="A123" s="105"/>
      <c r="B123" s="316">
        <v>1</v>
      </c>
      <c r="C123" s="317"/>
      <c r="D123" s="318"/>
      <c r="E123" s="17" t="s">
        <v>22</v>
      </c>
      <c r="F123" s="256">
        <v>3</v>
      </c>
      <c r="G123" s="256">
        <v>4</v>
      </c>
      <c r="H123" s="256">
        <v>5</v>
      </c>
      <c r="I123" s="7">
        <v>6</v>
      </c>
      <c r="J123" s="7">
        <v>7</v>
      </c>
      <c r="K123" s="48">
        <v>8</v>
      </c>
      <c r="L123" s="259">
        <v>9</v>
      </c>
      <c r="M123" s="7">
        <v>10</v>
      </c>
      <c r="N123" s="259">
        <v>11</v>
      </c>
      <c r="O123" s="7">
        <v>12</v>
      </c>
      <c r="P123" s="259">
        <v>13</v>
      </c>
    </row>
    <row r="124" spans="1:16" ht="34.5" customHeight="1" thickBot="1">
      <c r="A124" s="106" t="s">
        <v>182</v>
      </c>
      <c r="B124" s="388" t="s">
        <v>183</v>
      </c>
      <c r="C124" s="389"/>
      <c r="D124" s="390"/>
      <c r="E124" s="31"/>
      <c r="F124" s="31"/>
      <c r="G124" s="74"/>
      <c r="H124" s="74"/>
      <c r="I124" s="74"/>
      <c r="J124" s="74"/>
      <c r="K124" s="94">
        <f aca="true" t="shared" si="12" ref="K124:K139">G124</f>
        <v>0</v>
      </c>
      <c r="L124" s="33">
        <f>0+K124</f>
        <v>0</v>
      </c>
      <c r="M124" s="34">
        <f aca="true" t="shared" si="13" ref="M124:N140">E124-K124</f>
        <v>0</v>
      </c>
      <c r="N124" s="35">
        <f t="shared" si="13"/>
        <v>0</v>
      </c>
      <c r="O124" s="64">
        <v>0</v>
      </c>
      <c r="P124" s="65">
        <v>0</v>
      </c>
    </row>
    <row r="125" spans="1:16" ht="41.25" customHeight="1" thickBot="1">
      <c r="A125" s="107" t="s">
        <v>184</v>
      </c>
      <c r="B125" s="325" t="s">
        <v>185</v>
      </c>
      <c r="C125" s="326"/>
      <c r="D125" s="327"/>
      <c r="E125" s="31"/>
      <c r="F125" s="31"/>
      <c r="G125" s="74"/>
      <c r="H125" s="74"/>
      <c r="I125" s="74"/>
      <c r="J125" s="74"/>
      <c r="K125" s="94">
        <f t="shared" si="12"/>
        <v>0</v>
      </c>
      <c r="L125" s="33">
        <f>0+K125</f>
        <v>0</v>
      </c>
      <c r="M125" s="34">
        <f t="shared" si="13"/>
        <v>0</v>
      </c>
      <c r="N125" s="35">
        <f t="shared" si="13"/>
        <v>0</v>
      </c>
      <c r="O125" s="64">
        <v>0</v>
      </c>
      <c r="P125" s="65">
        <v>0</v>
      </c>
    </row>
    <row r="126" spans="1:16" ht="41.25" customHeight="1" thickBot="1">
      <c r="A126" s="108" t="s">
        <v>186</v>
      </c>
      <c r="B126" s="325" t="s">
        <v>187</v>
      </c>
      <c r="C126" s="326"/>
      <c r="D126" s="327"/>
      <c r="E126" s="31"/>
      <c r="F126" s="31">
        <f>400000+E126</f>
        <v>400000</v>
      </c>
      <c r="G126" s="74">
        <v>20320</v>
      </c>
      <c r="H126" s="74"/>
      <c r="I126" s="74"/>
      <c r="J126" s="74"/>
      <c r="K126" s="94">
        <f>I126+G126</f>
        <v>20320</v>
      </c>
      <c r="L126" s="33">
        <f>421216+K126</f>
        <v>441536</v>
      </c>
      <c r="M126" s="34">
        <f t="shared" si="13"/>
        <v>-20320</v>
      </c>
      <c r="N126" s="35">
        <f t="shared" si="13"/>
        <v>-41536</v>
      </c>
      <c r="O126" s="64">
        <v>0</v>
      </c>
      <c r="P126" s="65">
        <v>0</v>
      </c>
    </row>
    <row r="127" spans="1:16" ht="45.75" customHeight="1" thickBot="1">
      <c r="A127" s="108" t="s">
        <v>188</v>
      </c>
      <c r="B127" s="325" t="s">
        <v>189</v>
      </c>
      <c r="C127" s="326"/>
      <c r="D127" s="327"/>
      <c r="E127" s="31"/>
      <c r="F127" s="31">
        <f>0+E127</f>
        <v>0</v>
      </c>
      <c r="G127" s="74"/>
      <c r="H127" s="74"/>
      <c r="I127" s="74"/>
      <c r="J127" s="74"/>
      <c r="K127" s="94">
        <f>H127</f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44.25" customHeight="1" thickBot="1">
      <c r="A128" s="109" t="s">
        <v>190</v>
      </c>
      <c r="B128" s="325" t="s">
        <v>191</v>
      </c>
      <c r="C128" s="326"/>
      <c r="D128" s="327"/>
      <c r="E128" s="31"/>
      <c r="F128" s="31"/>
      <c r="G128" s="74"/>
      <c r="H128" s="74"/>
      <c r="I128" s="74"/>
      <c r="J128" s="74"/>
      <c r="K128" s="94">
        <f>G128</f>
        <v>0</v>
      </c>
      <c r="L128" s="33">
        <f>3980+K128</f>
        <v>3980</v>
      </c>
      <c r="M128" s="34">
        <f t="shared" si="13"/>
        <v>0</v>
      </c>
      <c r="N128" s="35">
        <f t="shared" si="13"/>
        <v>-3980</v>
      </c>
      <c r="O128" s="64">
        <v>0</v>
      </c>
      <c r="P128" s="65">
        <v>0</v>
      </c>
    </row>
    <row r="129" spans="1:16" ht="45" customHeight="1" thickBot="1">
      <c r="A129" s="109" t="s">
        <v>192</v>
      </c>
      <c r="B129" s="460" t="s">
        <v>193</v>
      </c>
      <c r="C129" s="461"/>
      <c r="D129" s="462"/>
      <c r="E129" s="31"/>
      <c r="F129" s="31">
        <f>225000+E129</f>
        <v>225000</v>
      </c>
      <c r="G129" s="74"/>
      <c r="H129" s="74"/>
      <c r="I129" s="74"/>
      <c r="J129" s="74"/>
      <c r="K129" s="94">
        <f>G129+I129</f>
        <v>0</v>
      </c>
      <c r="L129" s="33">
        <f>0+K129</f>
        <v>0</v>
      </c>
      <c r="M129" s="34">
        <f t="shared" si="13"/>
        <v>0</v>
      </c>
      <c r="N129" s="35">
        <f t="shared" si="13"/>
        <v>225000</v>
      </c>
      <c r="O129" s="64">
        <v>0</v>
      </c>
      <c r="P129" s="65">
        <v>0</v>
      </c>
    </row>
    <row r="130" spans="1:16" ht="23.25" customHeight="1" thickBot="1">
      <c r="A130" s="109" t="s">
        <v>213</v>
      </c>
      <c r="B130" s="311" t="s">
        <v>214</v>
      </c>
      <c r="C130" s="312"/>
      <c r="D130" s="313"/>
      <c r="E130" s="31">
        <v>5540</v>
      </c>
      <c r="F130" s="31">
        <f>13650+E130</f>
        <v>19190</v>
      </c>
      <c r="G130" s="74">
        <v>14104</v>
      </c>
      <c r="H130" s="74"/>
      <c r="I130" s="74"/>
      <c r="J130" s="74"/>
      <c r="K130" s="94">
        <f>G130+I130</f>
        <v>14104</v>
      </c>
      <c r="L130" s="33">
        <f>8063+K130</f>
        <v>22167</v>
      </c>
      <c r="M130" s="34">
        <f>E130-K130</f>
        <v>-8564</v>
      </c>
      <c r="N130" s="35">
        <f>F130-L130</f>
        <v>-2977</v>
      </c>
      <c r="O130" s="64">
        <v>0</v>
      </c>
      <c r="P130" s="65">
        <v>0</v>
      </c>
    </row>
    <row r="131" spans="1:19" ht="33.75" customHeight="1" thickBot="1">
      <c r="A131" s="188">
        <v>15</v>
      </c>
      <c r="B131" s="402" t="s">
        <v>194</v>
      </c>
      <c r="C131" s="304"/>
      <c r="D131" s="305"/>
      <c r="E131" s="73">
        <f>E132+E133</f>
        <v>0</v>
      </c>
      <c r="F131" s="73">
        <f>F132</f>
        <v>56000</v>
      </c>
      <c r="G131" s="75">
        <f>G132+G133</f>
        <v>0</v>
      </c>
      <c r="H131" s="74"/>
      <c r="I131" s="74"/>
      <c r="J131" s="74"/>
      <c r="K131" s="93">
        <f t="shared" si="12"/>
        <v>0</v>
      </c>
      <c r="L131" s="55">
        <f>L132+L133</f>
        <v>8246</v>
      </c>
      <c r="M131" s="56">
        <f t="shared" si="13"/>
        <v>0</v>
      </c>
      <c r="N131" s="70">
        <f t="shared" si="13"/>
        <v>47754</v>
      </c>
      <c r="O131" s="58">
        <v>0</v>
      </c>
      <c r="P131" s="59">
        <v>0</v>
      </c>
      <c r="Q131" s="1"/>
      <c r="R131" s="1"/>
      <c r="S131" s="1"/>
    </row>
    <row r="132" spans="1:19" ht="29.25" customHeight="1" thickBot="1">
      <c r="A132" s="60" t="s">
        <v>195</v>
      </c>
      <c r="B132" s="301" t="s">
        <v>53</v>
      </c>
      <c r="C132" s="302"/>
      <c r="D132" s="303"/>
      <c r="E132" s="155"/>
      <c r="F132" s="31">
        <f>56000+E132</f>
        <v>56000</v>
      </c>
      <c r="G132" s="74"/>
      <c r="H132" s="74"/>
      <c r="I132" s="74"/>
      <c r="J132" s="74"/>
      <c r="K132" s="94">
        <f t="shared" si="12"/>
        <v>0</v>
      </c>
      <c r="L132" s="33">
        <f>8246+K132</f>
        <v>8246</v>
      </c>
      <c r="M132" s="34">
        <f t="shared" si="13"/>
        <v>0</v>
      </c>
      <c r="N132" s="35">
        <f t="shared" si="13"/>
        <v>47754</v>
      </c>
      <c r="O132" s="64">
        <v>0</v>
      </c>
      <c r="P132" s="65">
        <v>0</v>
      </c>
      <c r="Q132" s="1"/>
      <c r="R132" s="1"/>
      <c r="S132" s="1"/>
    </row>
    <row r="133" spans="1:19" ht="32.25" customHeight="1" thickBot="1">
      <c r="A133" s="60" t="s">
        <v>196</v>
      </c>
      <c r="B133" s="301" t="s">
        <v>104</v>
      </c>
      <c r="C133" s="302"/>
      <c r="D133" s="303"/>
      <c r="E133" s="61"/>
      <c r="F133" s="31"/>
      <c r="G133" s="74"/>
      <c r="H133" s="74"/>
      <c r="I133" s="74"/>
      <c r="J133" s="74"/>
      <c r="K133" s="94">
        <f t="shared" si="12"/>
        <v>0</v>
      </c>
      <c r="L133" s="33">
        <f>0+K133</f>
        <v>0</v>
      </c>
      <c r="M133" s="34">
        <f t="shared" si="13"/>
        <v>0</v>
      </c>
      <c r="N133" s="35">
        <f t="shared" si="13"/>
        <v>0</v>
      </c>
      <c r="O133" s="64">
        <v>0</v>
      </c>
      <c r="P133" s="65">
        <v>0</v>
      </c>
      <c r="Q133" s="1"/>
      <c r="R133" s="1"/>
      <c r="S133" s="1"/>
    </row>
    <row r="134" spans="1:19" ht="30" customHeight="1" thickBot="1">
      <c r="A134" s="189">
        <v>16</v>
      </c>
      <c r="B134" s="402" t="s">
        <v>197</v>
      </c>
      <c r="C134" s="304"/>
      <c r="D134" s="305"/>
      <c r="E134" s="31">
        <v>0</v>
      </c>
      <c r="F134" s="73">
        <f>F135</f>
        <v>0</v>
      </c>
      <c r="G134" s="75">
        <f>G135+G136</f>
        <v>38750</v>
      </c>
      <c r="H134" s="74"/>
      <c r="I134" s="74"/>
      <c r="J134" s="74"/>
      <c r="K134" s="93">
        <f t="shared" si="12"/>
        <v>38750</v>
      </c>
      <c r="L134" s="55">
        <f>L135+L136</f>
        <v>77500</v>
      </c>
      <c r="M134" s="56">
        <f t="shared" si="13"/>
        <v>-38750</v>
      </c>
      <c r="N134" s="70">
        <f t="shared" si="13"/>
        <v>-77500</v>
      </c>
      <c r="O134" s="58">
        <v>0</v>
      </c>
      <c r="P134" s="59">
        <v>0</v>
      </c>
      <c r="Q134" s="1"/>
      <c r="R134" s="1"/>
      <c r="S134" s="1"/>
    </row>
    <row r="135" spans="1:19" ht="27" customHeight="1" thickBot="1">
      <c r="A135" s="60" t="s">
        <v>198</v>
      </c>
      <c r="B135" s="301" t="s">
        <v>53</v>
      </c>
      <c r="C135" s="302"/>
      <c r="D135" s="303"/>
      <c r="E135" s="61"/>
      <c r="F135" s="31">
        <v>0</v>
      </c>
      <c r="G135" s="74">
        <v>38750</v>
      </c>
      <c r="H135" s="74"/>
      <c r="I135" s="74"/>
      <c r="J135" s="74"/>
      <c r="K135" s="94">
        <f t="shared" si="12"/>
        <v>38750</v>
      </c>
      <c r="L135" s="33">
        <f>38750+K135</f>
        <v>77500</v>
      </c>
      <c r="M135" s="34">
        <f t="shared" si="13"/>
        <v>-38750</v>
      </c>
      <c r="N135" s="35">
        <f t="shared" si="13"/>
        <v>-77500</v>
      </c>
      <c r="O135" s="64">
        <v>0</v>
      </c>
      <c r="P135" s="65">
        <v>0</v>
      </c>
      <c r="Q135" s="1"/>
      <c r="R135" s="1"/>
      <c r="S135" s="1"/>
    </row>
    <row r="136" spans="1:19" ht="40.5" customHeight="1" thickBot="1">
      <c r="A136" s="60" t="s">
        <v>199</v>
      </c>
      <c r="B136" s="301" t="s">
        <v>104</v>
      </c>
      <c r="C136" s="302"/>
      <c r="D136" s="303"/>
      <c r="E136" s="61"/>
      <c r="F136" s="31"/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5" customHeight="1" thickBot="1">
      <c r="A137" s="188">
        <v>17</v>
      </c>
      <c r="B137" s="402" t="s">
        <v>200</v>
      </c>
      <c r="C137" s="304"/>
      <c r="D137" s="305"/>
      <c r="E137" s="73">
        <v>0</v>
      </c>
      <c r="F137" s="73">
        <f>F138</f>
        <v>0</v>
      </c>
      <c r="G137" s="75">
        <f>G138+G139</f>
        <v>0</v>
      </c>
      <c r="H137" s="75"/>
      <c r="I137" s="75"/>
      <c r="J137" s="75"/>
      <c r="K137" s="93">
        <f t="shared" si="12"/>
        <v>0</v>
      </c>
      <c r="L137" s="55">
        <f>L138</f>
        <v>0</v>
      </c>
      <c r="M137" s="56">
        <f t="shared" si="13"/>
        <v>0</v>
      </c>
      <c r="N137" s="70">
        <f t="shared" si="13"/>
        <v>0</v>
      </c>
      <c r="O137" s="58">
        <v>0</v>
      </c>
      <c r="P137" s="59">
        <v>0</v>
      </c>
      <c r="Q137" s="1"/>
      <c r="R137" s="1"/>
      <c r="S137" s="1"/>
    </row>
    <row r="138" spans="1:19" ht="27" customHeight="1" thickBot="1">
      <c r="A138" s="60" t="s">
        <v>201</v>
      </c>
      <c r="B138" s="301" t="s">
        <v>53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2"/>
        <v>0</v>
      </c>
      <c r="L138" s="33">
        <f>0+K138</f>
        <v>0</v>
      </c>
      <c r="M138" s="34">
        <f t="shared" si="13"/>
        <v>0</v>
      </c>
      <c r="N138" s="35">
        <f t="shared" si="13"/>
        <v>0</v>
      </c>
      <c r="O138" s="64">
        <v>0</v>
      </c>
      <c r="P138" s="65">
        <v>0</v>
      </c>
      <c r="Q138" s="1"/>
      <c r="R138" s="1"/>
      <c r="S138" s="1"/>
    </row>
    <row r="139" spans="1:19" ht="29.25" customHeight="1" thickBot="1">
      <c r="A139" s="60" t="s">
        <v>202</v>
      </c>
      <c r="B139" s="301" t="s">
        <v>104</v>
      </c>
      <c r="C139" s="302"/>
      <c r="D139" s="303"/>
      <c r="E139" s="61"/>
      <c r="F139" s="31"/>
      <c r="G139" s="74"/>
      <c r="H139" s="74"/>
      <c r="I139" s="74"/>
      <c r="J139" s="74"/>
      <c r="K139" s="94">
        <f t="shared" si="12"/>
        <v>0</v>
      </c>
      <c r="L139" s="33">
        <f>0+K139</f>
        <v>0</v>
      </c>
      <c r="M139" s="34">
        <f t="shared" si="13"/>
        <v>0</v>
      </c>
      <c r="N139" s="35">
        <f t="shared" si="13"/>
        <v>0</v>
      </c>
      <c r="O139" s="64">
        <v>0</v>
      </c>
      <c r="P139" s="65">
        <v>0</v>
      </c>
      <c r="Q139" s="1"/>
      <c r="R139" s="1"/>
      <c r="S139" s="1"/>
    </row>
    <row r="140" spans="1:19" ht="21.75" customHeight="1" thickBot="1">
      <c r="A140" s="110">
        <v>18</v>
      </c>
      <c r="B140" s="354" t="s">
        <v>42</v>
      </c>
      <c r="C140" s="306"/>
      <c r="D140" s="307"/>
      <c r="E140" s="31">
        <v>0</v>
      </c>
      <c r="F140" s="31"/>
      <c r="G140" s="74"/>
      <c r="H140" s="74"/>
      <c r="I140" s="74"/>
      <c r="J140" s="75"/>
      <c r="K140" s="93">
        <f>J140</f>
        <v>0</v>
      </c>
      <c r="L140" s="55">
        <f>890351.89+K140</f>
        <v>890351.89</v>
      </c>
      <c r="M140" s="56">
        <f>E140-K140</f>
        <v>0</v>
      </c>
      <c r="N140" s="70">
        <f t="shared" si="13"/>
        <v>-890351.89</v>
      </c>
      <c r="O140" s="58">
        <v>0</v>
      </c>
      <c r="P140" s="59">
        <v>0</v>
      </c>
      <c r="Q140" s="1"/>
      <c r="R140" s="1"/>
      <c r="S140" s="1"/>
    </row>
    <row r="141" spans="1:19" ht="51.75" customHeight="1" thickBot="1">
      <c r="A141" s="112"/>
      <c r="B141" s="484" t="s">
        <v>203</v>
      </c>
      <c r="C141" s="295"/>
      <c r="D141" s="295"/>
      <c r="E141" s="298"/>
      <c r="F141" s="113"/>
      <c r="G141" s="284" t="s">
        <v>4</v>
      </c>
      <c r="H141" s="266" t="s">
        <v>5</v>
      </c>
      <c r="I141" s="342" t="s">
        <v>6</v>
      </c>
      <c r="J141" s="344"/>
      <c r="K141" s="104" t="s">
        <v>11</v>
      </c>
      <c r="L141" s="285" t="s">
        <v>8</v>
      </c>
      <c r="M141" s="285" t="s">
        <v>9</v>
      </c>
      <c r="N141" s="286" t="s">
        <v>10</v>
      </c>
      <c r="O141" s="287" t="s">
        <v>228</v>
      </c>
      <c r="P141" s="258"/>
      <c r="Q141" s="1"/>
      <c r="R141" s="1"/>
      <c r="S141" s="1"/>
    </row>
    <row r="142" spans="1:19" ht="21" customHeight="1" thickBot="1">
      <c r="A142" s="118"/>
      <c r="B142" s="484" t="s">
        <v>12</v>
      </c>
      <c r="C142" s="295"/>
      <c r="D142" s="295"/>
      <c r="E142" s="298"/>
      <c r="F142" s="119"/>
      <c r="G142" s="119">
        <v>0</v>
      </c>
      <c r="H142" s="4">
        <v>0</v>
      </c>
      <c r="I142" s="299">
        <v>0</v>
      </c>
      <c r="J142" s="300"/>
      <c r="K142" s="120"/>
      <c r="L142" s="4">
        <v>0</v>
      </c>
      <c r="M142" s="254">
        <v>0</v>
      </c>
      <c r="N142" s="254">
        <v>0</v>
      </c>
      <c r="O142" s="254">
        <v>0</v>
      </c>
      <c r="P142" s="4">
        <v>0</v>
      </c>
      <c r="Q142" s="1"/>
      <c r="R142" s="1"/>
      <c r="S142" s="1"/>
    </row>
    <row r="143" spans="1:19" ht="21" customHeight="1" thickBot="1">
      <c r="A143" s="112"/>
      <c r="B143" s="484" t="s">
        <v>13</v>
      </c>
      <c r="C143" s="295"/>
      <c r="D143" s="295"/>
      <c r="E143" s="298"/>
      <c r="F143" s="4"/>
      <c r="G143" s="4">
        <f>F10+G17-G32-G36-G40-G45-G55-G65-G68-G72-G75-G79-G87-G100-G132-G135-G138-G81</f>
        <v>-10797.659999999989</v>
      </c>
      <c r="H143" s="4">
        <f>G18+H10-H31-H35</f>
        <v>119326.69</v>
      </c>
      <c r="I143" s="299">
        <f>I10+G19-I102-I66-I95-I76</f>
        <v>10.6</v>
      </c>
      <c r="J143" s="300"/>
      <c r="K143" s="120">
        <f>O10+G22-J54</f>
        <v>-34.66</v>
      </c>
      <c r="L143" s="4">
        <f>L10+G23-J140</f>
        <v>16276.19</v>
      </c>
      <c r="M143" s="254">
        <v>0</v>
      </c>
      <c r="N143" s="4">
        <v>0</v>
      </c>
      <c r="O143" s="215">
        <f>G20-H56</f>
        <v>0</v>
      </c>
      <c r="P143" s="4">
        <f>SUM(G143:O143)</f>
        <v>124781.16000000002</v>
      </c>
      <c r="Q143" s="1"/>
      <c r="R143" s="80">
        <f>P5+L16-L29</f>
        <v>124781.15999999829</v>
      </c>
      <c r="S143" s="37"/>
    </row>
    <row r="144" spans="1:19" ht="20.25" customHeight="1" thickBot="1">
      <c r="A144" s="122"/>
      <c r="B144" s="451" t="s">
        <v>247</v>
      </c>
      <c r="C144" s="288"/>
      <c r="D144" s="288"/>
      <c r="E144" s="289"/>
      <c r="F144" s="471"/>
      <c r="G144" s="290"/>
      <c r="H144" s="290"/>
      <c r="I144" s="290"/>
      <c r="J144" s="290"/>
      <c r="K144" s="290"/>
      <c r="L144" s="290"/>
      <c r="M144" s="290"/>
      <c r="N144" s="290"/>
      <c r="O144" s="452"/>
      <c r="P144" s="123">
        <f>P143</f>
        <v>124781.16000000002</v>
      </c>
      <c r="Q144" s="1"/>
      <c r="R144" s="37">
        <f>P5+L16-L29</f>
        <v>124781.15999999829</v>
      </c>
      <c r="S144" s="37"/>
    </row>
    <row r="145" spans="1:19" ht="15">
      <c r="A145" s="1"/>
      <c r="B145" s="124"/>
      <c r="C145" s="124"/>
      <c r="D145" s="124"/>
      <c r="E145" s="124"/>
      <c r="F145" s="125"/>
      <c r="G145" s="125"/>
      <c r="H145" s="125"/>
      <c r="I145" s="125"/>
      <c r="J145" s="125"/>
      <c r="K145" s="126"/>
      <c r="L145" s="125"/>
      <c r="M145" s="125"/>
      <c r="N145" s="125"/>
      <c r="O145" s="127"/>
      <c r="P145" s="128"/>
      <c r="Q145" s="1"/>
      <c r="R145" s="37"/>
      <c r="S145" s="1"/>
    </row>
    <row r="146" spans="1:19" ht="15" customHeight="1">
      <c r="A146" s="1"/>
      <c r="B146" s="293" t="s">
        <v>204</v>
      </c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4" t="s">
        <v>205</v>
      </c>
      <c r="P146" s="294"/>
      <c r="Q146" s="1"/>
      <c r="R146" s="80"/>
      <c r="S146" s="37"/>
    </row>
    <row r="147" spans="1:19" ht="15" customHeight="1">
      <c r="A147" s="1"/>
      <c r="B147" s="293" t="s">
        <v>206</v>
      </c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 t="s">
        <v>207</v>
      </c>
      <c r="P147" s="293"/>
      <c r="Q147" s="1"/>
      <c r="R147" s="1"/>
      <c r="S147" s="1"/>
    </row>
    <row r="148" spans="1:19" ht="15">
      <c r="A148" s="1"/>
      <c r="B148" s="267"/>
      <c r="C148" s="267"/>
      <c r="D148" s="267"/>
      <c r="E148" s="267"/>
      <c r="F148" s="267"/>
      <c r="G148" s="267"/>
      <c r="H148" s="267"/>
      <c r="I148" s="267"/>
      <c r="J148" s="130"/>
      <c r="K148" s="131"/>
      <c r="L148" s="130"/>
      <c r="M148" s="267"/>
      <c r="N148" s="267"/>
      <c r="O148" s="267"/>
      <c r="P148" s="130"/>
      <c r="Q148" s="1"/>
      <c r="R148" s="37"/>
      <c r="S148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32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1"/>
      <c r="P152" s="1"/>
      <c r="Q152" s="1"/>
      <c r="R152" s="1"/>
      <c r="S152" s="1"/>
    </row>
    <row r="153" spans="12:16" ht="15">
      <c r="L153" s="1"/>
      <c r="M153" s="1"/>
      <c r="N153" s="37"/>
      <c r="O153" s="1"/>
      <c r="P153" s="37"/>
    </row>
    <row r="154" spans="12:16" ht="15">
      <c r="L154" s="1"/>
      <c r="M154" s="1"/>
      <c r="N154" s="133"/>
      <c r="O154" s="1"/>
      <c r="P154" s="37"/>
    </row>
    <row r="155" spans="12:16" ht="15">
      <c r="L155" s="37"/>
      <c r="M155" s="1"/>
      <c r="N155" s="1"/>
      <c r="O155" s="1"/>
      <c r="P155" s="1"/>
    </row>
    <row r="156" spans="12:16" ht="15">
      <c r="L156" s="37"/>
      <c r="M156" s="37"/>
      <c r="N156" s="1"/>
      <c r="O156" s="1"/>
      <c r="P156" s="1"/>
    </row>
  </sheetData>
  <sheetProtection/>
  <mergeCells count="199">
    <mergeCell ref="B144:E144"/>
    <mergeCell ref="F144:O144"/>
    <mergeCell ref="B146:E146"/>
    <mergeCell ref="F146:N146"/>
    <mergeCell ref="O146:P146"/>
    <mergeCell ref="B147:E147"/>
    <mergeCell ref="F147:N147"/>
    <mergeCell ref="O147:P147"/>
    <mergeCell ref="B140:D140"/>
    <mergeCell ref="B141:E141"/>
    <mergeCell ref="I141:J141"/>
    <mergeCell ref="B142:E142"/>
    <mergeCell ref="I142:J142"/>
    <mergeCell ref="B143:E143"/>
    <mergeCell ref="I143:J143"/>
    <mergeCell ref="B134:D134"/>
    <mergeCell ref="B135:D135"/>
    <mergeCell ref="B136:D136"/>
    <mergeCell ref="B137:D137"/>
    <mergeCell ref="B138:D138"/>
    <mergeCell ref="B139:D139"/>
    <mergeCell ref="B127:D127"/>
    <mergeCell ref="B128:D128"/>
    <mergeCell ref="B129:D129"/>
    <mergeCell ref="B131:D131"/>
    <mergeCell ref="B132:D132"/>
    <mergeCell ref="B133:D133"/>
    <mergeCell ref="B130:D130"/>
    <mergeCell ref="O121:O122"/>
    <mergeCell ref="P121:P122"/>
    <mergeCell ref="B123:D123"/>
    <mergeCell ref="B124:D124"/>
    <mergeCell ref="B125:D125"/>
    <mergeCell ref="B126:D126"/>
    <mergeCell ref="B117:D117"/>
    <mergeCell ref="B118:D118"/>
    <mergeCell ref="B119:P120"/>
    <mergeCell ref="B121:D122"/>
    <mergeCell ref="E121:E122"/>
    <mergeCell ref="F121:F122"/>
    <mergeCell ref="G121:K121"/>
    <mergeCell ref="L121:L122"/>
    <mergeCell ref="M121:M122"/>
    <mergeCell ref="N121:N122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99:D99"/>
    <mergeCell ref="B100:D100"/>
    <mergeCell ref="B101:D101"/>
    <mergeCell ref="P83:P84"/>
    <mergeCell ref="B85:D85"/>
    <mergeCell ref="B86:D86"/>
    <mergeCell ref="A83:A84"/>
    <mergeCell ref="B83:D84"/>
    <mergeCell ref="E83:E84"/>
    <mergeCell ref="F83:F84"/>
    <mergeCell ref="G83:K83"/>
    <mergeCell ref="L83:L84"/>
    <mergeCell ref="O83:O84"/>
    <mergeCell ref="N83:N84"/>
    <mergeCell ref="M83:M84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I10:J10"/>
    <mergeCell ref="B6:E6"/>
    <mergeCell ref="F6:O6"/>
    <mergeCell ref="B7:E7"/>
    <mergeCell ref="F7:P7"/>
    <mergeCell ref="B8:E8"/>
    <mergeCell ref="I8:J8"/>
    <mergeCell ref="B1:P1"/>
    <mergeCell ref="B2:P2"/>
    <mergeCell ref="B3:P3"/>
    <mergeCell ref="B4:P4"/>
    <mergeCell ref="B5:E5"/>
    <mergeCell ref="F5:O5"/>
    <mergeCell ref="B9:E9"/>
    <mergeCell ref="I9:J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">
      <selection activeCell="E114" sqref="E114"/>
    </sheetView>
  </sheetViews>
  <sheetFormatPr defaultColWidth="9.140625" defaultRowHeight="15"/>
  <cols>
    <col min="1" max="1" width="5.7109375" style="2" customWidth="1"/>
    <col min="2" max="3" width="9.140625" style="2" customWidth="1"/>
    <col min="4" max="4" width="5.140625" style="2" customWidth="1"/>
    <col min="5" max="5" width="13.28125" style="2" customWidth="1"/>
    <col min="6" max="6" width="14.140625" style="2" customWidth="1"/>
    <col min="7" max="7" width="12.7109375" style="2" customWidth="1"/>
    <col min="8" max="8" width="11.0039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 customHeight="1">
      <c r="A1" s="1"/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" customHeight="1">
      <c r="A2" s="1"/>
      <c r="B2" s="472" t="s">
        <v>248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5.75" customHeight="1" thickBot="1">
      <c r="A3" s="1"/>
      <c r="B3" s="459" t="s">
        <v>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5.75" customHeight="1" thickBot="1">
      <c r="A4" s="1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7.75" customHeight="1" thickBot="1">
      <c r="A5" s="3"/>
      <c r="B5" s="451" t="s">
        <v>211</v>
      </c>
      <c r="C5" s="288"/>
      <c r="D5" s="288"/>
      <c r="E5" s="289"/>
      <c r="F5" s="471"/>
      <c r="G5" s="290"/>
      <c r="H5" s="290"/>
      <c r="I5" s="290"/>
      <c r="J5" s="290"/>
      <c r="K5" s="290"/>
      <c r="L5" s="290"/>
      <c r="M5" s="290"/>
      <c r="N5" s="290"/>
      <c r="O5" s="452"/>
      <c r="P5" s="4">
        <v>246424.42</v>
      </c>
    </row>
    <row r="6" spans="1:16" ht="26.25" customHeight="1" thickBot="1">
      <c r="A6" s="3"/>
      <c r="B6" s="451" t="s">
        <v>249</v>
      </c>
      <c r="C6" s="288"/>
      <c r="D6" s="288"/>
      <c r="E6" s="289"/>
      <c r="F6" s="471"/>
      <c r="G6" s="290"/>
      <c r="H6" s="290"/>
      <c r="I6" s="290"/>
      <c r="J6" s="290"/>
      <c r="K6" s="290"/>
      <c r="L6" s="290"/>
      <c r="M6" s="290"/>
      <c r="N6" s="290"/>
      <c r="O6" s="452"/>
      <c r="P6" s="272">
        <f>P10</f>
        <v>124781.16</v>
      </c>
    </row>
    <row r="7" spans="1:16" ht="15.75" thickBot="1">
      <c r="A7" s="3"/>
      <c r="B7" s="453"/>
      <c r="C7" s="454"/>
      <c r="D7" s="454"/>
      <c r="E7" s="455"/>
      <c r="F7" s="403"/>
      <c r="G7" s="404"/>
      <c r="H7" s="404"/>
      <c r="I7" s="404"/>
      <c r="J7" s="404"/>
      <c r="K7" s="404"/>
      <c r="L7" s="404"/>
      <c r="M7" s="404"/>
      <c r="N7" s="404"/>
      <c r="O7" s="404"/>
      <c r="P7" s="405"/>
    </row>
    <row r="8" spans="1:16" ht="75.75" customHeight="1" thickBot="1">
      <c r="A8" s="6"/>
      <c r="B8" s="451" t="s">
        <v>3</v>
      </c>
      <c r="C8" s="288"/>
      <c r="D8" s="288"/>
      <c r="E8" s="289"/>
      <c r="F8" s="283" t="s">
        <v>4</v>
      </c>
      <c r="G8" s="212" t="s">
        <v>228</v>
      </c>
      <c r="H8" s="7" t="s">
        <v>5</v>
      </c>
      <c r="I8" s="296" t="s">
        <v>6</v>
      </c>
      <c r="J8" s="297"/>
      <c r="K8" s="8" t="s">
        <v>7</v>
      </c>
      <c r="L8" s="7" t="s">
        <v>8</v>
      </c>
      <c r="M8" s="270" t="s">
        <v>9</v>
      </c>
      <c r="N8" s="276" t="s">
        <v>10</v>
      </c>
      <c r="O8" s="11" t="s">
        <v>11</v>
      </c>
      <c r="P8" s="12"/>
    </row>
    <row r="9" spans="1:16" ht="15.75" customHeight="1" thickBot="1">
      <c r="A9" s="3"/>
      <c r="B9" s="448" t="s">
        <v>12</v>
      </c>
      <c r="C9" s="449"/>
      <c r="D9" s="449"/>
      <c r="E9" s="450"/>
      <c r="F9" s="271">
        <v>0</v>
      </c>
      <c r="G9" s="271">
        <v>0</v>
      </c>
      <c r="H9" s="4">
        <v>0</v>
      </c>
      <c r="I9" s="299">
        <v>0</v>
      </c>
      <c r="J9" s="300"/>
      <c r="K9" s="13">
        <v>0</v>
      </c>
      <c r="L9" s="4">
        <v>0</v>
      </c>
      <c r="M9" s="271">
        <v>0</v>
      </c>
      <c r="N9" s="4">
        <v>0</v>
      </c>
      <c r="O9" s="15">
        <v>0</v>
      </c>
      <c r="P9" s="272">
        <v>0</v>
      </c>
    </row>
    <row r="10" spans="1:16" ht="30.75" customHeight="1" thickBot="1">
      <c r="A10" s="3"/>
      <c r="B10" s="448" t="s">
        <v>13</v>
      </c>
      <c r="C10" s="449"/>
      <c r="D10" s="449"/>
      <c r="E10" s="450"/>
      <c r="F10" s="271">
        <v>-10797.66</v>
      </c>
      <c r="G10" s="271">
        <v>0</v>
      </c>
      <c r="H10" s="4">
        <v>119326.69</v>
      </c>
      <c r="I10" s="299">
        <v>10.6</v>
      </c>
      <c r="J10" s="300"/>
      <c r="K10" s="13">
        <v>0</v>
      </c>
      <c r="L10" s="4">
        <v>16276.19</v>
      </c>
      <c r="M10" s="271">
        <v>0</v>
      </c>
      <c r="N10" s="4">
        <v>0</v>
      </c>
      <c r="O10" s="4">
        <v>-34.66</v>
      </c>
      <c r="P10" s="272">
        <f>SUM(F10:O10)</f>
        <v>124781.16</v>
      </c>
    </row>
    <row r="11" spans="1:16" ht="15.75" thickBot="1">
      <c r="A11" s="280"/>
      <c r="B11" s="451"/>
      <c r="C11" s="288"/>
      <c r="D11" s="288"/>
      <c r="E11" s="28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297"/>
    </row>
    <row r="12" spans="1:16" ht="15" customHeight="1">
      <c r="A12" s="412"/>
      <c r="B12" s="368" t="s">
        <v>14</v>
      </c>
      <c r="C12" s="369"/>
      <c r="D12" s="369"/>
      <c r="E12" s="370"/>
      <c r="F12" s="355"/>
      <c r="G12" s="444" t="s">
        <v>15</v>
      </c>
      <c r="H12" s="442"/>
      <c r="I12" s="442"/>
      <c r="J12" s="442"/>
      <c r="K12" s="443"/>
      <c r="L12" s="355" t="s">
        <v>16</v>
      </c>
      <c r="M12" s="355" t="s">
        <v>17</v>
      </c>
      <c r="N12" s="355" t="s">
        <v>18</v>
      </c>
      <c r="O12" s="355" t="s">
        <v>19</v>
      </c>
      <c r="P12" s="355" t="s">
        <v>20</v>
      </c>
    </row>
    <row r="13" spans="1:16" ht="29.25" customHeight="1" thickBot="1">
      <c r="A13" s="413"/>
      <c r="B13" s="371"/>
      <c r="C13" s="372"/>
      <c r="D13" s="372"/>
      <c r="E13" s="373"/>
      <c r="F13" s="356"/>
      <c r="G13" s="445"/>
      <c r="H13" s="446"/>
      <c r="I13" s="446"/>
      <c r="J13" s="446"/>
      <c r="K13" s="447"/>
      <c r="L13" s="356"/>
      <c r="M13" s="356"/>
      <c r="N13" s="356"/>
      <c r="O13" s="356"/>
      <c r="P13" s="356"/>
    </row>
    <row r="14" spans="1:16" ht="15.75" thickBot="1">
      <c r="A14" s="3"/>
      <c r="B14" s="316" t="s">
        <v>21</v>
      </c>
      <c r="C14" s="317"/>
      <c r="D14" s="318"/>
      <c r="E14" s="17" t="s">
        <v>22</v>
      </c>
      <c r="F14" s="277">
        <v>3</v>
      </c>
      <c r="G14" s="403">
        <v>4</v>
      </c>
      <c r="H14" s="404"/>
      <c r="I14" s="404"/>
      <c r="J14" s="405"/>
      <c r="K14" s="19">
        <v>5</v>
      </c>
      <c r="L14" s="275">
        <v>6</v>
      </c>
      <c r="M14" s="7">
        <v>7</v>
      </c>
      <c r="N14" s="275">
        <v>8</v>
      </c>
      <c r="O14" s="275">
        <v>9</v>
      </c>
      <c r="P14" s="7">
        <v>10</v>
      </c>
    </row>
    <row r="15" spans="1:16" ht="29.25" thickBot="1">
      <c r="A15" s="412"/>
      <c r="B15" s="428" t="s">
        <v>23</v>
      </c>
      <c r="C15" s="429"/>
      <c r="D15" s="430"/>
      <c r="E15" s="21" t="s">
        <v>24</v>
      </c>
      <c r="F15" s="21" t="s">
        <v>25</v>
      </c>
      <c r="G15" s="434" t="s">
        <v>26</v>
      </c>
      <c r="H15" s="435"/>
      <c r="I15" s="435"/>
      <c r="J15" s="43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7.5" customHeight="1" thickBot="1">
      <c r="A16" s="413"/>
      <c r="B16" s="431"/>
      <c r="C16" s="432"/>
      <c r="D16" s="433"/>
      <c r="E16" s="26">
        <f>SUM(E17:E23)</f>
        <v>1215997</v>
      </c>
      <c r="F16" s="27">
        <f>SUM(F17:F23)</f>
        <v>13285029</v>
      </c>
      <c r="G16" s="437">
        <f>G17+G18+G19+G20+G21+G22+G23</f>
        <v>1082042.75</v>
      </c>
      <c r="H16" s="438"/>
      <c r="I16" s="438"/>
      <c r="J16" s="439"/>
      <c r="K16" s="282">
        <f>SUM(K17:K23)</f>
        <v>1082042.75</v>
      </c>
      <c r="L16" s="282">
        <f>SUM(L17:L23)</f>
        <v>12609892.23</v>
      </c>
      <c r="M16" s="282">
        <f>SUM(M17:M23)</f>
        <v>133954.24999999997</v>
      </c>
      <c r="N16" s="282">
        <f>SUM(N17:N23)</f>
        <v>675136.7699999997</v>
      </c>
      <c r="O16" s="29">
        <v>0</v>
      </c>
      <c r="P16" s="29">
        <v>0</v>
      </c>
    </row>
    <row r="17" spans="1:18" ht="63.75" customHeight="1" thickBot="1">
      <c r="A17" s="30" t="s">
        <v>29</v>
      </c>
      <c r="B17" s="393" t="s">
        <v>30</v>
      </c>
      <c r="C17" s="394"/>
      <c r="D17" s="395"/>
      <c r="E17" s="154">
        <v>829614</v>
      </c>
      <c r="F17" s="31">
        <f>6830764+E17</f>
        <v>7660378</v>
      </c>
      <c r="G17" s="409">
        <v>375311.53</v>
      </c>
      <c r="H17" s="410"/>
      <c r="I17" s="410"/>
      <c r="J17" s="411"/>
      <c r="K17" s="279">
        <f>G17</f>
        <v>375311.53</v>
      </c>
      <c r="L17" s="45">
        <f>5629446.58+K17</f>
        <v>6004758.11</v>
      </c>
      <c r="M17" s="34">
        <f>E17-K17</f>
        <v>454302.47</v>
      </c>
      <c r="N17" s="35">
        <f>F17-L17</f>
        <v>1655619.8899999997</v>
      </c>
      <c r="O17" s="36">
        <v>0</v>
      </c>
      <c r="P17" s="36">
        <v>0</v>
      </c>
      <c r="Q17" s="1"/>
      <c r="R17" s="37">
        <v>365352.1499999948</v>
      </c>
    </row>
    <row r="18" spans="1:18" ht="33.75" customHeight="1" thickBot="1">
      <c r="A18" s="38" t="s">
        <v>31</v>
      </c>
      <c r="B18" s="473" t="s">
        <v>32</v>
      </c>
      <c r="C18" s="474"/>
      <c r="D18" s="475"/>
      <c r="E18" s="148">
        <v>318183</v>
      </c>
      <c r="F18" s="31">
        <f>3893068+E18</f>
        <v>4211251</v>
      </c>
      <c r="G18" s="409">
        <v>492550</v>
      </c>
      <c r="H18" s="410"/>
      <c r="I18" s="410"/>
      <c r="J18" s="411"/>
      <c r="K18" s="279">
        <f>G18</f>
        <v>492550</v>
      </c>
      <c r="L18" s="45">
        <f>3763370+K18</f>
        <v>4255920</v>
      </c>
      <c r="M18" s="34">
        <f>E18-K18</f>
        <v>-174367</v>
      </c>
      <c r="N18" s="35">
        <f>F18-L18</f>
        <v>-44669</v>
      </c>
      <c r="O18" s="36">
        <v>0</v>
      </c>
      <c r="P18" s="36">
        <v>0</v>
      </c>
      <c r="Q18" s="1"/>
      <c r="R18" s="1"/>
    </row>
    <row r="19" spans="1:18" ht="48.75" customHeight="1" thickBot="1">
      <c r="A19" s="38" t="s">
        <v>33</v>
      </c>
      <c r="B19" s="425" t="s">
        <v>34</v>
      </c>
      <c r="C19" s="426"/>
      <c r="D19" s="427"/>
      <c r="E19" s="39"/>
      <c r="F19" s="31">
        <f>0+E19</f>
        <v>0</v>
      </c>
      <c r="G19" s="409"/>
      <c r="H19" s="410"/>
      <c r="I19" s="410"/>
      <c r="J19" s="411"/>
      <c r="K19" s="279">
        <f>G19</f>
        <v>0</v>
      </c>
      <c r="L19" s="45">
        <f>24800+K19</f>
        <v>24800</v>
      </c>
      <c r="M19" s="34">
        <f aca="true" t="shared" si="0" ref="M19:N23">E19-K19</f>
        <v>0</v>
      </c>
      <c r="N19" s="35">
        <f t="shared" si="0"/>
        <v>-24800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416" t="s">
        <v>36</v>
      </c>
      <c r="C20" s="417"/>
      <c r="D20" s="418"/>
      <c r="E20" s="42">
        <v>68200</v>
      </c>
      <c r="F20" s="31">
        <f>1345200+E20</f>
        <v>1413400</v>
      </c>
      <c r="G20" s="409"/>
      <c r="H20" s="410"/>
      <c r="I20" s="410"/>
      <c r="J20" s="411"/>
      <c r="K20" s="279">
        <f>G20</f>
        <v>0</v>
      </c>
      <c r="L20" s="45">
        <f>1368197.31+K20</f>
        <v>1368197.31</v>
      </c>
      <c r="M20" s="34">
        <f t="shared" si="0"/>
        <v>68200</v>
      </c>
      <c r="N20" s="35">
        <f t="shared" si="0"/>
        <v>45202.689999999944</v>
      </c>
      <c r="O20" s="36">
        <v>0</v>
      </c>
      <c r="P20" s="36">
        <v>0</v>
      </c>
      <c r="Q20" s="37"/>
      <c r="R20" s="37"/>
    </row>
    <row r="21" spans="1:18" ht="27" customHeight="1" thickBot="1">
      <c r="A21" s="43" t="s">
        <v>37</v>
      </c>
      <c r="B21" s="419" t="s">
        <v>38</v>
      </c>
      <c r="C21" s="420"/>
      <c r="D21" s="421"/>
      <c r="E21" s="44"/>
      <c r="F21" s="31">
        <f>0+E21</f>
        <v>0</v>
      </c>
      <c r="G21" s="409"/>
      <c r="H21" s="410"/>
      <c r="I21" s="410"/>
      <c r="J21" s="411"/>
      <c r="K21" s="279">
        <f>G21</f>
        <v>0</v>
      </c>
      <c r="L21" s="45">
        <f>21850+K21</f>
        <v>21850</v>
      </c>
      <c r="M21" s="34">
        <f t="shared" si="0"/>
        <v>0</v>
      </c>
      <c r="N21" s="35">
        <f t="shared" si="0"/>
        <v>-21850</v>
      </c>
      <c r="O21" s="36">
        <v>0</v>
      </c>
      <c r="P21" s="36">
        <v>0</v>
      </c>
      <c r="Q21" s="37"/>
      <c r="R21" s="1"/>
    </row>
    <row r="22" spans="1:18" ht="36" customHeight="1" thickBot="1">
      <c r="A22" s="43" t="s">
        <v>39</v>
      </c>
      <c r="B22" s="393" t="s">
        <v>40</v>
      </c>
      <c r="C22" s="394"/>
      <c r="D22" s="395"/>
      <c r="E22" s="149"/>
      <c r="F22" s="31">
        <f>0+E22</f>
        <v>0</v>
      </c>
      <c r="G22" s="409"/>
      <c r="H22" s="410"/>
      <c r="I22" s="410"/>
      <c r="J22" s="411"/>
      <c r="K22" s="279">
        <f>G22</f>
        <v>0</v>
      </c>
      <c r="L22" s="45">
        <f>8955.66+K22</f>
        <v>8955.66</v>
      </c>
      <c r="M22" s="34">
        <f>E22-K22</f>
        <v>0</v>
      </c>
      <c r="N22" s="35">
        <f t="shared" si="0"/>
        <v>-8955.66</v>
      </c>
      <c r="O22" s="36">
        <v>0</v>
      </c>
      <c r="P22" s="36">
        <v>0</v>
      </c>
      <c r="Q22" s="1"/>
      <c r="R22" s="1"/>
    </row>
    <row r="23" spans="1:18" ht="33.75" customHeight="1" thickBot="1">
      <c r="A23" s="43" t="s">
        <v>41</v>
      </c>
      <c r="B23" s="406" t="s">
        <v>42</v>
      </c>
      <c r="C23" s="407"/>
      <c r="D23" s="408"/>
      <c r="E23" s="46"/>
      <c r="F23" s="31"/>
      <c r="G23" s="409">
        <v>214181.22</v>
      </c>
      <c r="H23" s="410"/>
      <c r="I23" s="410"/>
      <c r="J23" s="411"/>
      <c r="K23" s="279">
        <f>G23</f>
        <v>214181.22</v>
      </c>
      <c r="L23" s="45">
        <f>711229.93+K23</f>
        <v>925411.15</v>
      </c>
      <c r="M23" s="34">
        <f t="shared" si="0"/>
        <v>-214181.22</v>
      </c>
      <c r="N23" s="35">
        <f t="shared" si="0"/>
        <v>-925411.15</v>
      </c>
      <c r="O23" s="36">
        <v>0</v>
      </c>
      <c r="P23" s="36">
        <v>0</v>
      </c>
      <c r="Q23" s="1"/>
      <c r="R23" s="1"/>
    </row>
    <row r="24" spans="1:18" ht="15">
      <c r="A24" s="412"/>
      <c r="B24" s="414" t="s">
        <v>43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9"/>
      <c r="Q24" s="1"/>
      <c r="R24" s="1"/>
    </row>
    <row r="25" spans="1:18" ht="15.75" thickBot="1">
      <c r="A25" s="413"/>
      <c r="B25" s="41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1"/>
      <c r="Q25" s="1"/>
      <c r="R25" s="1"/>
    </row>
    <row r="26" spans="1:18" ht="15.75" customHeight="1" thickBot="1">
      <c r="A26" s="412"/>
      <c r="B26" s="368" t="s">
        <v>14</v>
      </c>
      <c r="C26" s="369"/>
      <c r="D26" s="370"/>
      <c r="E26" s="374" t="s">
        <v>24</v>
      </c>
      <c r="F26" s="376" t="s">
        <v>25</v>
      </c>
      <c r="G26" s="296" t="s">
        <v>44</v>
      </c>
      <c r="H26" s="378"/>
      <c r="I26" s="378"/>
      <c r="J26" s="378"/>
      <c r="K26" s="297"/>
      <c r="L26" s="355" t="s">
        <v>16</v>
      </c>
      <c r="M26" s="355" t="s">
        <v>17</v>
      </c>
      <c r="N26" s="355" t="s">
        <v>18</v>
      </c>
      <c r="O26" s="355" t="s">
        <v>19</v>
      </c>
      <c r="P26" s="355" t="s">
        <v>20</v>
      </c>
      <c r="Q26" s="1"/>
      <c r="R26" s="1"/>
    </row>
    <row r="27" spans="1:18" ht="104.25" customHeight="1" thickBot="1">
      <c r="A27" s="413"/>
      <c r="B27" s="371"/>
      <c r="C27" s="372"/>
      <c r="D27" s="373"/>
      <c r="E27" s="375"/>
      <c r="F27" s="377"/>
      <c r="G27" s="278" t="s">
        <v>45</v>
      </c>
      <c r="H27" s="278" t="s">
        <v>46</v>
      </c>
      <c r="I27" s="278" t="s">
        <v>47</v>
      </c>
      <c r="J27" s="7" t="s">
        <v>48</v>
      </c>
      <c r="K27" s="8" t="s">
        <v>27</v>
      </c>
      <c r="L27" s="356"/>
      <c r="M27" s="356"/>
      <c r="N27" s="356"/>
      <c r="O27" s="356"/>
      <c r="P27" s="356"/>
      <c r="Q27" s="1"/>
      <c r="R27" s="37">
        <v>365352.1499999948</v>
      </c>
    </row>
    <row r="28" spans="1:18" ht="16.5" customHeight="1" thickBot="1">
      <c r="A28" s="3"/>
      <c r="B28" s="316">
        <v>1</v>
      </c>
      <c r="C28" s="317"/>
      <c r="D28" s="318"/>
      <c r="E28" s="17" t="s">
        <v>22</v>
      </c>
      <c r="F28" s="278">
        <v>3</v>
      </c>
      <c r="G28" s="278">
        <v>4</v>
      </c>
      <c r="H28" s="278">
        <v>5</v>
      </c>
      <c r="I28" s="7">
        <v>6</v>
      </c>
      <c r="J28" s="7">
        <v>7</v>
      </c>
      <c r="K28" s="48">
        <v>8</v>
      </c>
      <c r="L28" s="275">
        <v>9</v>
      </c>
      <c r="M28" s="7">
        <v>10</v>
      </c>
      <c r="N28" s="275">
        <v>11</v>
      </c>
      <c r="O28" s="7">
        <v>12</v>
      </c>
      <c r="P28" s="275">
        <v>13</v>
      </c>
      <c r="Q28" s="1"/>
      <c r="R28" s="1"/>
    </row>
    <row r="29" spans="1:18" ht="30.75" customHeight="1" thickBot="1">
      <c r="A29" s="3"/>
      <c r="B29" s="403" t="s">
        <v>23</v>
      </c>
      <c r="C29" s="404"/>
      <c r="D29" s="405"/>
      <c r="E29" s="49">
        <f aca="true" t="shared" si="1" ref="E29:N29">E30+E34+E38+E44+E51+E54+E64+E67+E71+E74+E78+E80+E86+E99+E131+E134+E137+E140</f>
        <v>1215997</v>
      </c>
      <c r="F29" s="49">
        <f t="shared" si="1"/>
        <v>13285029</v>
      </c>
      <c r="G29" s="49">
        <f t="shared" si="1"/>
        <v>375356.13</v>
      </c>
      <c r="H29" s="49">
        <f>H30+H34+H38+H44+H51+H54+H64+H67+H71+H74+H78+H80+H86+H99+H131+H134+H137+H140</f>
        <v>320175.69</v>
      </c>
      <c r="I29" s="49">
        <f t="shared" si="1"/>
        <v>0</v>
      </c>
      <c r="J29" s="49">
        <f t="shared" si="1"/>
        <v>0</v>
      </c>
      <c r="K29" s="49">
        <f t="shared" si="1"/>
        <v>695531.8200000001</v>
      </c>
      <c r="L29" s="49">
        <f>L30+L34+L38+L44+L51+L54+L64+L67+L71+L74+L78+L80+L86+L99+L131+L134+L137+L140</f>
        <v>12345024.560000004</v>
      </c>
      <c r="M29" s="49">
        <f t="shared" si="1"/>
        <v>520465.17999999993</v>
      </c>
      <c r="N29" s="49">
        <f t="shared" si="1"/>
        <v>940004.4399999996</v>
      </c>
      <c r="O29" s="50">
        <v>0</v>
      </c>
      <c r="P29" s="50">
        <v>0</v>
      </c>
      <c r="Q29" s="1"/>
      <c r="R29" s="37">
        <f>3440426+E29</f>
        <v>4656423</v>
      </c>
    </row>
    <row r="30" spans="1:18" ht="19.5" customHeight="1" thickBot="1">
      <c r="A30" s="51" t="s">
        <v>21</v>
      </c>
      <c r="B30" s="402" t="s">
        <v>49</v>
      </c>
      <c r="C30" s="304"/>
      <c r="D30" s="305"/>
      <c r="E30" s="52">
        <f>SUM(E31:E32)</f>
        <v>694801</v>
      </c>
      <c r="F30" s="53">
        <f>F31+F32+F33</f>
        <v>6305053</v>
      </c>
      <c r="G30" s="54">
        <f>G31+G32+G33</f>
        <v>155550.7</v>
      </c>
      <c r="H30" s="54">
        <f>H31</f>
        <v>320175.69</v>
      </c>
      <c r="I30" s="54"/>
      <c r="J30" s="54"/>
      <c r="K30" s="53">
        <f>G30+H30</f>
        <v>475726.39</v>
      </c>
      <c r="L30" s="55">
        <f>L31+L32+L33</f>
        <v>6298649.24</v>
      </c>
      <c r="M30" s="56">
        <f>E30-K30</f>
        <v>219074.61</v>
      </c>
      <c r="N30" s="70">
        <f>F30-L30</f>
        <v>6403.7599999997765</v>
      </c>
      <c r="O30" s="58">
        <v>0</v>
      </c>
      <c r="P30" s="59">
        <v>0</v>
      </c>
      <c r="Q30" s="37"/>
      <c r="R30" s="37">
        <f>K29+'ИЮЛЬ 2017'!L29</f>
        <v>12019863.500000002</v>
      </c>
    </row>
    <row r="31" spans="1:18" ht="19.5" customHeight="1" thickBot="1">
      <c r="A31" s="60" t="s">
        <v>50</v>
      </c>
      <c r="B31" s="388" t="s">
        <v>51</v>
      </c>
      <c r="C31" s="389"/>
      <c r="D31" s="390"/>
      <c r="E31" s="172">
        <v>264711</v>
      </c>
      <c r="F31" s="31">
        <f>3238825+E31</f>
        <v>3503536</v>
      </c>
      <c r="G31" s="62"/>
      <c r="H31" s="62">
        <v>320175.69</v>
      </c>
      <c r="I31" s="62"/>
      <c r="J31" s="62"/>
      <c r="K31" s="45">
        <f>H31</f>
        <v>320175.69</v>
      </c>
      <c r="L31" s="33">
        <f>2987048.01+K31</f>
        <v>3307223.6999999997</v>
      </c>
      <c r="M31" s="34">
        <f>E31-K31</f>
        <v>-55464.69</v>
      </c>
      <c r="N31" s="63">
        <f>F31-L31</f>
        <v>196312.30000000028</v>
      </c>
      <c r="O31" s="64">
        <v>0</v>
      </c>
      <c r="P31" s="65">
        <v>0</v>
      </c>
      <c r="Q31" s="37"/>
      <c r="R31" s="37"/>
    </row>
    <row r="32" spans="1:18" ht="27.75" customHeight="1" thickBot="1">
      <c r="A32" s="60" t="s">
        <v>52</v>
      </c>
      <c r="B32" s="301" t="s">
        <v>53</v>
      </c>
      <c r="C32" s="302"/>
      <c r="D32" s="303"/>
      <c r="E32" s="172">
        <v>430090</v>
      </c>
      <c r="F32" s="31">
        <f>2371427+E32</f>
        <v>2801517</v>
      </c>
      <c r="G32" s="62">
        <v>155550.7</v>
      </c>
      <c r="H32" s="62"/>
      <c r="I32" s="62"/>
      <c r="J32" s="62"/>
      <c r="K32" s="33">
        <f>0+G32</f>
        <v>155550.7</v>
      </c>
      <c r="L32" s="33">
        <f>2818154.84+K32</f>
        <v>2973705.54</v>
      </c>
      <c r="M32" s="34">
        <f>E32-K32</f>
        <v>274539.3</v>
      </c>
      <c r="N32" s="63">
        <f>F32-L32</f>
        <v>-172188.54000000004</v>
      </c>
      <c r="O32" s="64">
        <v>0</v>
      </c>
      <c r="P32" s="65">
        <v>0</v>
      </c>
      <c r="Q32" s="37"/>
      <c r="R32" s="37"/>
    </row>
    <row r="33" spans="1:18" ht="15.75" customHeight="1" thickBot="1">
      <c r="A33" s="60" t="s">
        <v>54</v>
      </c>
      <c r="B33" s="301" t="s">
        <v>55</v>
      </c>
      <c r="C33" s="302"/>
      <c r="D33" s="303"/>
      <c r="E33" s="66"/>
      <c r="F33" s="33"/>
      <c r="G33" s="62"/>
      <c r="H33" s="62"/>
      <c r="I33" s="62"/>
      <c r="J33" s="62"/>
      <c r="K33" s="45"/>
      <c r="L33" s="33">
        <v>17720</v>
      </c>
      <c r="M33" s="34">
        <f>E33-K33</f>
        <v>0</v>
      </c>
      <c r="N33" s="63">
        <f>F33-L33</f>
        <v>-17720</v>
      </c>
      <c r="O33" s="64">
        <v>0</v>
      </c>
      <c r="P33" s="65">
        <v>0</v>
      </c>
      <c r="Q33" s="37"/>
      <c r="R33" s="37"/>
    </row>
    <row r="34" spans="1:18" ht="32.25" customHeight="1" thickBot="1">
      <c r="A34" s="69" t="s">
        <v>22</v>
      </c>
      <c r="B34" s="357" t="s">
        <v>56</v>
      </c>
      <c r="C34" s="358"/>
      <c r="D34" s="359"/>
      <c r="E34" s="53">
        <f>SUM(E35:E37)</f>
        <v>140350</v>
      </c>
      <c r="F34" s="53">
        <f>F35+F36+F37</f>
        <v>1273622</v>
      </c>
      <c r="G34" s="54">
        <f>G35+G36+G37</f>
        <v>79651.9</v>
      </c>
      <c r="H34" s="54">
        <f>H35</f>
        <v>0</v>
      </c>
      <c r="I34" s="54"/>
      <c r="J34" s="54"/>
      <c r="K34" s="53">
        <f>G34+H34</f>
        <v>79651.9</v>
      </c>
      <c r="L34" s="55">
        <f>L35+L36+L37</f>
        <v>1313080.4400000002</v>
      </c>
      <c r="M34" s="56">
        <f aca="true" t="shared" si="2" ref="M34:N37">E34-K34</f>
        <v>60698.100000000006</v>
      </c>
      <c r="N34" s="70">
        <f t="shared" si="2"/>
        <v>-39458.44000000018</v>
      </c>
      <c r="O34" s="58">
        <v>0</v>
      </c>
      <c r="P34" s="59">
        <v>0</v>
      </c>
      <c r="Q34" s="1"/>
      <c r="R34" s="1"/>
    </row>
    <row r="35" spans="1:18" ht="20.25" customHeight="1" thickBot="1">
      <c r="A35" s="60" t="s">
        <v>57</v>
      </c>
      <c r="B35" s="388" t="s">
        <v>51</v>
      </c>
      <c r="C35" s="389"/>
      <c r="D35" s="390"/>
      <c r="E35" s="173">
        <v>53472</v>
      </c>
      <c r="F35" s="31">
        <f>654243+E35</f>
        <v>707715</v>
      </c>
      <c r="G35" s="62"/>
      <c r="H35" s="62"/>
      <c r="I35" s="62"/>
      <c r="J35" s="62"/>
      <c r="K35" s="45">
        <f>H35</f>
        <v>0</v>
      </c>
      <c r="L35" s="33">
        <f>656995.3+K35</f>
        <v>656995.3</v>
      </c>
      <c r="M35" s="34">
        <f t="shared" si="2"/>
        <v>53472</v>
      </c>
      <c r="N35" s="63">
        <f t="shared" si="2"/>
        <v>50719.69999999995</v>
      </c>
      <c r="O35" s="64">
        <v>0</v>
      </c>
      <c r="P35" s="65">
        <v>0</v>
      </c>
      <c r="Q35" s="1"/>
      <c r="R35" s="71">
        <f>10506304-F29</f>
        <v>-2778725</v>
      </c>
    </row>
    <row r="36" spans="1:18" ht="29.25" customHeight="1" thickBot="1">
      <c r="A36" s="60" t="s">
        <v>58</v>
      </c>
      <c r="B36" s="301" t="s">
        <v>53</v>
      </c>
      <c r="C36" s="302"/>
      <c r="D36" s="303"/>
      <c r="E36" s="173">
        <v>86878</v>
      </c>
      <c r="F36" s="31">
        <f>479029+E36</f>
        <v>565907</v>
      </c>
      <c r="G36" s="62">
        <v>79651.9</v>
      </c>
      <c r="H36" s="62"/>
      <c r="I36" s="62"/>
      <c r="J36" s="62"/>
      <c r="K36" s="45">
        <f>G36</f>
        <v>79651.9</v>
      </c>
      <c r="L36" s="33">
        <f>572890.16+K36</f>
        <v>652542.06</v>
      </c>
      <c r="M36" s="34">
        <f>E36-K36</f>
        <v>7226.100000000006</v>
      </c>
      <c r="N36" s="63">
        <f t="shared" si="2"/>
        <v>-86635.06000000006</v>
      </c>
      <c r="O36" s="64">
        <v>0</v>
      </c>
      <c r="P36" s="65">
        <v>0</v>
      </c>
      <c r="Q36" s="1"/>
      <c r="R36" s="1"/>
    </row>
    <row r="37" spans="1:18" ht="31.5" customHeight="1" thickBot="1">
      <c r="A37" s="60" t="s">
        <v>59</v>
      </c>
      <c r="B37" s="301" t="s">
        <v>55</v>
      </c>
      <c r="C37" s="302"/>
      <c r="D37" s="303"/>
      <c r="E37" s="45"/>
      <c r="F37" s="31"/>
      <c r="G37" s="62"/>
      <c r="H37" s="62"/>
      <c r="I37" s="62"/>
      <c r="J37" s="62"/>
      <c r="K37" s="45"/>
      <c r="L37" s="33">
        <f>3543.08+K37</f>
        <v>3543.08</v>
      </c>
      <c r="M37" s="34">
        <f>E37-K37</f>
        <v>0</v>
      </c>
      <c r="N37" s="63">
        <f t="shared" si="2"/>
        <v>-3543.08</v>
      </c>
      <c r="O37" s="64">
        <v>0</v>
      </c>
      <c r="P37" s="65">
        <v>0</v>
      </c>
      <c r="Q37" s="1"/>
      <c r="R37" s="1"/>
    </row>
    <row r="38" spans="1:18" ht="30.75" customHeight="1" thickBot="1">
      <c r="A38" s="69" t="s">
        <v>60</v>
      </c>
      <c r="B38" s="357" t="s">
        <v>61</v>
      </c>
      <c r="C38" s="358"/>
      <c r="D38" s="359"/>
      <c r="E38" s="53">
        <f>SUM(E41:E43)</f>
        <v>8846</v>
      </c>
      <c r="F38" s="73">
        <f>F41+F42+F43</f>
        <v>98614</v>
      </c>
      <c r="G38" s="54">
        <f>G40</f>
        <v>4526.76</v>
      </c>
      <c r="H38" s="54"/>
      <c r="I38" s="54"/>
      <c r="J38" s="54"/>
      <c r="K38" s="55">
        <f>K39+K40</f>
        <v>4526.76</v>
      </c>
      <c r="L38" s="55">
        <f>L40+L39</f>
        <v>44579.78999999999</v>
      </c>
      <c r="M38" s="56">
        <f>E38-K38</f>
        <v>4319.24</v>
      </c>
      <c r="N38" s="70">
        <f>F38-L38</f>
        <v>54034.21000000001</v>
      </c>
      <c r="O38" s="58">
        <v>0</v>
      </c>
      <c r="P38" s="59">
        <v>0</v>
      </c>
      <c r="Q38" s="1"/>
      <c r="R38" s="1"/>
    </row>
    <row r="39" spans="1:18" ht="15.75" customHeight="1" thickBot="1">
      <c r="A39" s="60" t="s">
        <v>62</v>
      </c>
      <c r="B39" s="388" t="s">
        <v>51</v>
      </c>
      <c r="C39" s="389"/>
      <c r="D39" s="390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customHeight="1" thickBot="1">
      <c r="A40" s="60" t="s">
        <v>63</v>
      </c>
      <c r="B40" s="301" t="s">
        <v>53</v>
      </c>
      <c r="C40" s="302"/>
      <c r="D40" s="303"/>
      <c r="E40" s="45">
        <f>E41+E42+E43</f>
        <v>8846</v>
      </c>
      <c r="F40" s="31">
        <f>89768+E40</f>
        <v>98614</v>
      </c>
      <c r="G40" s="62">
        <f>G41+G42</f>
        <v>4526.76</v>
      </c>
      <c r="H40" s="62"/>
      <c r="I40" s="62"/>
      <c r="J40" s="62"/>
      <c r="K40" s="33">
        <f>0+G40</f>
        <v>4526.76</v>
      </c>
      <c r="L40" s="33">
        <f>L41+L42+L43</f>
        <v>44579.78999999999</v>
      </c>
      <c r="M40" s="34">
        <f>E40-K40</f>
        <v>4319.24</v>
      </c>
      <c r="N40" s="63">
        <f aca="true" t="shared" si="3" ref="M40:N54">F40-L40</f>
        <v>54034.21000000001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322" t="s">
        <v>65</v>
      </c>
      <c r="C41" s="323"/>
      <c r="D41" s="324"/>
      <c r="E41" s="153">
        <v>2846</v>
      </c>
      <c r="F41" s="31">
        <f>22768+E41</f>
        <v>25614</v>
      </c>
      <c r="G41" s="62">
        <v>2289.43</v>
      </c>
      <c r="H41" s="62"/>
      <c r="I41" s="62"/>
      <c r="J41" s="62"/>
      <c r="K41" s="33">
        <f>0+G41</f>
        <v>2289.43</v>
      </c>
      <c r="L41" s="33">
        <f>18365.44+K41</f>
        <v>20654.87</v>
      </c>
      <c r="M41" s="34">
        <f t="shared" si="3"/>
        <v>556.5700000000002</v>
      </c>
      <c r="N41" s="63">
        <f t="shared" si="3"/>
        <v>4959.130000000001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322" t="s">
        <v>67</v>
      </c>
      <c r="C42" s="323"/>
      <c r="D42" s="324"/>
      <c r="E42" s="153">
        <v>6000</v>
      </c>
      <c r="F42" s="31">
        <f>64000+E42</f>
        <v>70000</v>
      </c>
      <c r="G42" s="62">
        <v>2237.33</v>
      </c>
      <c r="H42" s="62"/>
      <c r="I42" s="62"/>
      <c r="J42" s="62"/>
      <c r="K42" s="33">
        <f>0+G42</f>
        <v>2237.33</v>
      </c>
      <c r="L42" s="33">
        <f>19574.59+K42</f>
        <v>21811.92</v>
      </c>
      <c r="M42" s="34">
        <f t="shared" si="3"/>
        <v>3762.67</v>
      </c>
      <c r="N42" s="63">
        <f t="shared" si="3"/>
        <v>48188.08</v>
      </c>
      <c r="O42" s="64">
        <v>0</v>
      </c>
      <c r="P42" s="65">
        <v>0</v>
      </c>
      <c r="Q42" s="1"/>
      <c r="R42" s="1"/>
    </row>
    <row r="43" spans="1:18" ht="15.75" customHeight="1" thickBot="1">
      <c r="A43" s="60" t="s">
        <v>68</v>
      </c>
      <c r="B43" s="322" t="s">
        <v>208</v>
      </c>
      <c r="C43" s="323"/>
      <c r="D43" s="324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2113+K43</f>
        <v>2113</v>
      </c>
      <c r="M43" s="34">
        <f t="shared" si="3"/>
        <v>0</v>
      </c>
      <c r="N43" s="63">
        <f t="shared" si="3"/>
        <v>887</v>
      </c>
      <c r="O43" s="64">
        <v>0</v>
      </c>
      <c r="P43" s="65">
        <v>0</v>
      </c>
      <c r="Q43" s="1"/>
      <c r="R43" s="37"/>
    </row>
    <row r="44" spans="1:18" ht="32.25" customHeight="1" thickBot="1">
      <c r="A44" s="51" t="s">
        <v>69</v>
      </c>
      <c r="B44" s="357" t="s">
        <v>70</v>
      </c>
      <c r="C44" s="358"/>
      <c r="D44" s="359"/>
      <c r="E44" s="53">
        <f>SUM(E47:E49)</f>
        <v>249000</v>
      </c>
      <c r="F44" s="73">
        <f>F45+F46+F47</f>
        <v>1517000</v>
      </c>
      <c r="G44" s="55">
        <f>G45+G46+G47</f>
        <v>0</v>
      </c>
      <c r="H44" s="75"/>
      <c r="I44" s="75"/>
      <c r="J44" s="54"/>
      <c r="K44" s="55">
        <f>K45+K46+K47</f>
        <v>0</v>
      </c>
      <c r="L44" s="55">
        <f>L45+L46+L47</f>
        <v>1008728</v>
      </c>
      <c r="M44" s="56">
        <f t="shared" si="3"/>
        <v>249000</v>
      </c>
      <c r="N44" s="158">
        <f t="shared" si="3"/>
        <v>508272</v>
      </c>
      <c r="O44" s="58">
        <v>0</v>
      </c>
      <c r="P44" s="59">
        <v>0</v>
      </c>
      <c r="Q44" s="1"/>
      <c r="R44" s="1"/>
    </row>
    <row r="45" spans="1:18" ht="26.25" customHeight="1" thickBot="1">
      <c r="A45" s="60" t="s">
        <v>71</v>
      </c>
      <c r="B45" s="301" t="s">
        <v>53</v>
      </c>
      <c r="C45" s="302"/>
      <c r="D45" s="303"/>
      <c r="E45" s="155">
        <f>E48+E49</f>
        <v>249000</v>
      </c>
      <c r="F45" s="31">
        <f>F48+F49+F50</f>
        <v>1517000</v>
      </c>
      <c r="G45" s="33">
        <f>G48+G49</f>
        <v>0</v>
      </c>
      <c r="H45" s="74"/>
      <c r="I45" s="74"/>
      <c r="J45" s="62"/>
      <c r="K45" s="33">
        <f>0+G45</f>
        <v>0</v>
      </c>
      <c r="L45" s="33">
        <f>L48+L49</f>
        <v>1008728</v>
      </c>
      <c r="M45" s="34">
        <f>E45-K45</f>
        <v>249000</v>
      </c>
      <c r="N45" s="35">
        <f t="shared" si="3"/>
        <v>508272</v>
      </c>
      <c r="O45" s="64">
        <v>0</v>
      </c>
      <c r="P45" s="65">
        <v>0</v>
      </c>
      <c r="Q45" s="1"/>
      <c r="R45" s="1"/>
    </row>
    <row r="46" spans="1:18" ht="15.75" customHeight="1" thickBot="1">
      <c r="A46" s="60" t="s">
        <v>72</v>
      </c>
      <c r="B46" s="388" t="s">
        <v>51</v>
      </c>
      <c r="C46" s="389"/>
      <c r="D46" s="390"/>
      <c r="E46" s="76"/>
      <c r="F46" s="31"/>
      <c r="G46" s="33"/>
      <c r="H46" s="74"/>
      <c r="I46" s="74"/>
      <c r="J46" s="62"/>
      <c r="K46" s="33">
        <f aca="true" t="shared" si="4" ref="K46:K53">0+G46</f>
        <v>0</v>
      </c>
      <c r="L46" s="33">
        <f>0+K46</f>
        <v>0</v>
      </c>
      <c r="M46" s="34">
        <f t="shared" si="3"/>
        <v>0</v>
      </c>
      <c r="N46" s="63">
        <f t="shared" si="3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4"/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308" t="s">
        <v>75</v>
      </c>
      <c r="C48" s="309"/>
      <c r="D48" s="310"/>
      <c r="E48" s="156">
        <v>239000</v>
      </c>
      <c r="F48" s="31">
        <f>1248000+E48</f>
        <v>1487000</v>
      </c>
      <c r="G48" s="74"/>
      <c r="H48" s="74"/>
      <c r="I48" s="74"/>
      <c r="J48" s="62"/>
      <c r="K48" s="33">
        <f>0+G48</f>
        <v>0</v>
      </c>
      <c r="L48" s="33">
        <f>1001897.5+K48</f>
        <v>1001897.5</v>
      </c>
      <c r="M48" s="34">
        <f>E48-K48</f>
        <v>239000</v>
      </c>
      <c r="N48" s="63">
        <f t="shared" si="3"/>
        <v>485102.5</v>
      </c>
      <c r="O48" s="64">
        <v>0</v>
      </c>
      <c r="P48" s="65">
        <v>0</v>
      </c>
      <c r="Q48" s="1"/>
      <c r="R48" s="37"/>
    </row>
    <row r="49" spans="1:18" ht="27" customHeight="1" thickBot="1">
      <c r="A49" s="60" t="s">
        <v>76</v>
      </c>
      <c r="B49" s="308" t="s">
        <v>77</v>
      </c>
      <c r="C49" s="309"/>
      <c r="D49" s="310"/>
      <c r="E49" s="156">
        <v>10000</v>
      </c>
      <c r="F49" s="31">
        <f>20000+E49</f>
        <v>30000</v>
      </c>
      <c r="G49" s="74"/>
      <c r="H49" s="74"/>
      <c r="I49" s="74"/>
      <c r="J49" s="62"/>
      <c r="K49" s="33">
        <f t="shared" si="4"/>
        <v>0</v>
      </c>
      <c r="L49" s="33">
        <f>6830.5+K49</f>
        <v>6830.5</v>
      </c>
      <c r="M49" s="34">
        <f t="shared" si="3"/>
        <v>10000</v>
      </c>
      <c r="N49" s="63">
        <f t="shared" si="3"/>
        <v>23169.5</v>
      </c>
      <c r="O49" s="64">
        <v>0</v>
      </c>
      <c r="P49" s="65">
        <v>0</v>
      </c>
      <c r="Q49" s="1"/>
      <c r="R49" s="1"/>
    </row>
    <row r="50" spans="1:18" ht="15.75" customHeight="1" thickBot="1">
      <c r="A50" s="60" t="s">
        <v>78</v>
      </c>
      <c r="B50" s="308" t="s">
        <v>79</v>
      </c>
      <c r="C50" s="309"/>
      <c r="D50" s="310"/>
      <c r="E50" s="74"/>
      <c r="F50" s="31">
        <f>0+E50</f>
        <v>0</v>
      </c>
      <c r="G50" s="74"/>
      <c r="H50" s="74"/>
      <c r="I50" s="74"/>
      <c r="J50" s="62"/>
      <c r="K50" s="33">
        <f t="shared" si="4"/>
        <v>0</v>
      </c>
      <c r="L50" s="33">
        <f aca="true" t="shared" si="5" ref="L50:L57">0+K50</f>
        <v>0</v>
      </c>
      <c r="M50" s="34">
        <f t="shared" si="3"/>
        <v>0</v>
      </c>
      <c r="N50" s="63">
        <f t="shared" si="3"/>
        <v>0</v>
      </c>
      <c r="O50" s="64">
        <v>0</v>
      </c>
      <c r="P50" s="65">
        <v>0</v>
      </c>
      <c r="Q50" s="1"/>
      <c r="R50" s="1"/>
    </row>
    <row r="51" spans="1:18" ht="49.5" customHeight="1" thickBot="1">
      <c r="A51" s="69" t="s">
        <v>80</v>
      </c>
      <c r="B51" s="354" t="s">
        <v>81</v>
      </c>
      <c r="C51" s="306"/>
      <c r="D51" s="307"/>
      <c r="E51" s="55">
        <v>0</v>
      </c>
      <c r="F51" s="55">
        <v>0</v>
      </c>
      <c r="G51" s="55"/>
      <c r="H51" s="55"/>
      <c r="I51" s="55"/>
      <c r="J51" s="54"/>
      <c r="K51" s="55">
        <f t="shared" si="4"/>
        <v>0</v>
      </c>
      <c r="L51" s="55">
        <f t="shared" si="5"/>
        <v>0</v>
      </c>
      <c r="M51" s="56">
        <f t="shared" si="3"/>
        <v>0</v>
      </c>
      <c r="N51" s="57">
        <f t="shared" si="3"/>
        <v>0</v>
      </c>
      <c r="O51" s="58">
        <v>0</v>
      </c>
      <c r="P51" s="59">
        <v>0</v>
      </c>
      <c r="Q51" s="1"/>
      <c r="R51" s="1"/>
    </row>
    <row r="52" spans="1:18" ht="15.75" customHeight="1" thickBot="1">
      <c r="A52" s="60" t="s">
        <v>82</v>
      </c>
      <c r="B52" s="301" t="s">
        <v>53</v>
      </c>
      <c r="C52" s="302"/>
      <c r="D52" s="303"/>
      <c r="E52" s="33"/>
      <c r="F52" s="33"/>
      <c r="G52" s="33"/>
      <c r="H52" s="33"/>
      <c r="I52" s="33"/>
      <c r="J52" s="62"/>
      <c r="K52" s="33">
        <f t="shared" si="4"/>
        <v>0</v>
      </c>
      <c r="L52" s="33">
        <f t="shared" si="5"/>
        <v>0</v>
      </c>
      <c r="M52" s="34">
        <f t="shared" si="3"/>
        <v>0</v>
      </c>
      <c r="N52" s="63">
        <f t="shared" si="3"/>
        <v>0</v>
      </c>
      <c r="O52" s="64">
        <v>0</v>
      </c>
      <c r="P52" s="65">
        <v>0</v>
      </c>
      <c r="Q52" s="1"/>
      <c r="R52" s="1"/>
    </row>
    <row r="53" spans="1:18" ht="15.75" thickBot="1">
      <c r="A53" s="60" t="s">
        <v>83</v>
      </c>
      <c r="B53" s="351" t="s">
        <v>55</v>
      </c>
      <c r="C53" s="352"/>
      <c r="D53" s="353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58.5" customHeight="1" thickBot="1">
      <c r="A54" s="69" t="s">
        <v>84</v>
      </c>
      <c r="B54" s="357" t="s">
        <v>85</v>
      </c>
      <c r="C54" s="358"/>
      <c r="D54" s="359"/>
      <c r="E54" s="53">
        <f>SUM(E59:E63)</f>
        <v>68200</v>
      </c>
      <c r="F54" s="73">
        <f>F56+F58</f>
        <v>1413400</v>
      </c>
      <c r="G54" s="55">
        <f>G55+G56+G57+G58</f>
        <v>0</v>
      </c>
      <c r="H54" s="55">
        <f>H55+H56+H57+H58</f>
        <v>0</v>
      </c>
      <c r="I54" s="55">
        <f>I55+I56+I57+I58</f>
        <v>0</v>
      </c>
      <c r="J54" s="55">
        <f>J55+J56+J57+J58</f>
        <v>0</v>
      </c>
      <c r="K54" s="55">
        <f>K55+K56+K57+K58</f>
        <v>0</v>
      </c>
      <c r="L54" s="55">
        <f>L55+L56+L57+L58</f>
        <v>1656728.41</v>
      </c>
      <c r="M54" s="56">
        <f t="shared" si="3"/>
        <v>68200</v>
      </c>
      <c r="N54" s="70">
        <f t="shared" si="3"/>
        <v>-243328.40999999992</v>
      </c>
      <c r="O54" s="58">
        <v>0</v>
      </c>
      <c r="P54" s="59">
        <v>0</v>
      </c>
      <c r="Q54" s="1"/>
      <c r="R54" s="37">
        <f>F59+F60+F62+F63-F58</f>
        <v>1413400</v>
      </c>
    </row>
    <row r="55" spans="1:18" ht="27.75" customHeight="1" thickBot="1">
      <c r="A55" s="60" t="s">
        <v>86</v>
      </c>
      <c r="B55" s="301" t="s">
        <v>53</v>
      </c>
      <c r="C55" s="302"/>
      <c r="D55" s="303"/>
      <c r="E55" s="95">
        <v>0</v>
      </c>
      <c r="F55" s="268">
        <f>0+E55</f>
        <v>0</v>
      </c>
      <c r="G55" s="33"/>
      <c r="H55" s="33"/>
      <c r="I55" s="33"/>
      <c r="J55" s="33"/>
      <c r="K55" s="33">
        <f>0+G55</f>
        <v>0</v>
      </c>
      <c r="L55" s="33">
        <f>274277.94+K55</f>
        <v>274277.94</v>
      </c>
      <c r="M55" s="34">
        <f>E56-K55</f>
        <v>68200</v>
      </c>
      <c r="N55" s="35">
        <f>F56-L55</f>
        <v>1139122.06</v>
      </c>
      <c r="O55" s="64">
        <v>0</v>
      </c>
      <c r="P55" s="65">
        <v>0</v>
      </c>
      <c r="Q55" s="1"/>
      <c r="R55" s="37"/>
    </row>
    <row r="56" spans="1:18" ht="30" customHeight="1" thickBot="1">
      <c r="A56" s="60" t="s">
        <v>87</v>
      </c>
      <c r="B56" s="388" t="s">
        <v>88</v>
      </c>
      <c r="C56" s="389"/>
      <c r="D56" s="390"/>
      <c r="E56" s="208">
        <f>E59+E60+E62+E63-E58</f>
        <v>68200</v>
      </c>
      <c r="F56" s="31">
        <f>1345200+E56</f>
        <v>1413400</v>
      </c>
      <c r="G56" s="33"/>
      <c r="H56" s="33">
        <f>H59+H60+H62+H63</f>
        <v>0</v>
      </c>
      <c r="I56" s="33"/>
      <c r="J56" s="33"/>
      <c r="K56" s="33">
        <f>H56</f>
        <v>0</v>
      </c>
      <c r="L56" s="33">
        <f>1369851.97+K56</f>
        <v>1369851.97</v>
      </c>
      <c r="M56" s="34">
        <f>E57-K56</f>
        <v>0</v>
      </c>
      <c r="N56" s="35">
        <f>F57-L56</f>
        <v>-1369851.97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391" t="s">
        <v>55</v>
      </c>
      <c r="C57" s="392"/>
      <c r="D57" s="466"/>
      <c r="E57" s="82"/>
      <c r="F57" s="31"/>
      <c r="G57" s="33"/>
      <c r="H57" s="33"/>
      <c r="I57" s="33"/>
      <c r="J57" s="33"/>
      <c r="K57" s="33">
        <f>0+G57</f>
        <v>0</v>
      </c>
      <c r="L57" s="33">
        <f t="shared" si="5"/>
        <v>0</v>
      </c>
      <c r="M57" s="34">
        <f aca="true" t="shared" si="6" ref="M57:N72">E57-K57</f>
        <v>0</v>
      </c>
      <c r="N57" s="63">
        <f t="shared" si="6"/>
        <v>0</v>
      </c>
      <c r="O57" s="64">
        <v>0</v>
      </c>
      <c r="P57" s="65">
        <v>0</v>
      </c>
      <c r="Q57" s="1"/>
      <c r="R57" s="37">
        <f>L59+L60+L61+L62+L63</f>
        <v>1471346.98</v>
      </c>
    </row>
    <row r="58" spans="1:18" ht="31.5" customHeight="1" thickBot="1">
      <c r="A58" s="60" t="s">
        <v>90</v>
      </c>
      <c r="B58" s="393" t="s">
        <v>40</v>
      </c>
      <c r="C58" s="394"/>
      <c r="D58" s="395"/>
      <c r="E58" s="155"/>
      <c r="F58" s="31"/>
      <c r="G58" s="33"/>
      <c r="H58" s="33"/>
      <c r="I58" s="33"/>
      <c r="J58" s="33">
        <f>J62+J63+J59</f>
        <v>0</v>
      </c>
      <c r="K58" s="33">
        <f>0+J58</f>
        <v>0</v>
      </c>
      <c r="L58" s="33">
        <f>12598.5+K58</f>
        <v>12598.5</v>
      </c>
      <c r="M58" s="34">
        <f t="shared" si="6"/>
        <v>0</v>
      </c>
      <c r="N58" s="35">
        <f t="shared" si="6"/>
        <v>-12598.5</v>
      </c>
      <c r="O58" s="64">
        <v>0</v>
      </c>
      <c r="P58" s="65">
        <v>0</v>
      </c>
      <c r="Q58" s="1"/>
      <c r="R58" s="37">
        <f>F59+F60+F62+F63</f>
        <v>1413400</v>
      </c>
    </row>
    <row r="59" spans="1:18" ht="30" customHeight="1" thickBot="1">
      <c r="A59" s="60" t="s">
        <v>91</v>
      </c>
      <c r="B59" s="396" t="s">
        <v>92</v>
      </c>
      <c r="C59" s="397"/>
      <c r="D59" s="398"/>
      <c r="E59" s="156">
        <v>50000</v>
      </c>
      <c r="F59" s="31">
        <f>383000+E59</f>
        <v>433000</v>
      </c>
      <c r="G59" s="74"/>
      <c r="H59" s="74"/>
      <c r="I59" s="74"/>
      <c r="J59" s="33"/>
      <c r="K59" s="33">
        <f>G59+H59+I59</f>
        <v>0</v>
      </c>
      <c r="L59" s="33">
        <f>450504.75+K59</f>
        <v>450504.75</v>
      </c>
      <c r="M59" s="34">
        <f t="shared" si="6"/>
        <v>50000</v>
      </c>
      <c r="N59" s="35">
        <f t="shared" si="6"/>
        <v>-17504.75</v>
      </c>
      <c r="O59" s="64">
        <v>0</v>
      </c>
      <c r="P59" s="65">
        <v>0</v>
      </c>
      <c r="Q59" s="1"/>
      <c r="R59" s="80"/>
    </row>
    <row r="60" spans="1:18" ht="23.25" customHeight="1" thickBot="1">
      <c r="A60" s="60" t="s">
        <v>93</v>
      </c>
      <c r="B60" s="325" t="s">
        <v>94</v>
      </c>
      <c r="C60" s="326"/>
      <c r="D60" s="327"/>
      <c r="E60" s="152"/>
      <c r="F60" s="31">
        <f>830000+E60</f>
        <v>830000</v>
      </c>
      <c r="G60" s="74"/>
      <c r="H60" s="74"/>
      <c r="I60" s="74"/>
      <c r="J60" s="33"/>
      <c r="K60" s="33">
        <f>0+G60</f>
        <v>0</v>
      </c>
      <c r="L60" s="33">
        <f>940885.96+K60</f>
        <v>940885.96</v>
      </c>
      <c r="M60" s="34">
        <f t="shared" si="6"/>
        <v>0</v>
      </c>
      <c r="N60" s="63">
        <f t="shared" si="6"/>
        <v>-110885.95999999996</v>
      </c>
      <c r="O60" s="64">
        <v>0</v>
      </c>
      <c r="P60" s="65">
        <v>0</v>
      </c>
      <c r="Q60" s="1"/>
      <c r="R60" s="37"/>
    </row>
    <row r="61" spans="1:18" ht="20.25" customHeight="1" thickBot="1">
      <c r="A61" s="60" t="s">
        <v>93</v>
      </c>
      <c r="B61" s="399" t="s">
        <v>95</v>
      </c>
      <c r="C61" s="400"/>
      <c r="D61" s="401"/>
      <c r="E61" s="152"/>
      <c r="F61" s="31"/>
      <c r="G61" s="74"/>
      <c r="H61" s="74"/>
      <c r="I61" s="74"/>
      <c r="J61" s="33"/>
      <c r="K61" s="33">
        <f>0+G61</f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21" customHeight="1" thickBot="1">
      <c r="A62" s="60" t="s">
        <v>96</v>
      </c>
      <c r="B62" s="325" t="s">
        <v>97</v>
      </c>
      <c r="C62" s="326"/>
      <c r="D62" s="327"/>
      <c r="E62" s="152">
        <v>9600</v>
      </c>
      <c r="F62" s="31">
        <f>69800+E62</f>
        <v>79400</v>
      </c>
      <c r="G62" s="83"/>
      <c r="H62" s="74"/>
      <c r="I62" s="74"/>
      <c r="J62" s="74"/>
      <c r="K62" s="33">
        <f>0+J62+G62+H62</f>
        <v>0</v>
      </c>
      <c r="L62" s="33">
        <f>42704.84+K62</f>
        <v>42704.84</v>
      </c>
      <c r="M62" s="34">
        <f t="shared" si="6"/>
        <v>9600</v>
      </c>
      <c r="N62" s="63">
        <f t="shared" si="6"/>
        <v>36695.16</v>
      </c>
      <c r="O62" s="64">
        <v>0</v>
      </c>
      <c r="P62" s="65">
        <v>0</v>
      </c>
      <c r="Q62" s="1"/>
      <c r="R62" s="1"/>
    </row>
    <row r="63" spans="1:18" ht="29.25" customHeight="1" thickBot="1">
      <c r="A63" s="60" t="s">
        <v>98</v>
      </c>
      <c r="B63" s="325" t="s">
        <v>99</v>
      </c>
      <c r="C63" s="326"/>
      <c r="D63" s="327"/>
      <c r="E63" s="152">
        <v>8600</v>
      </c>
      <c r="F63" s="31">
        <f>62400+E63</f>
        <v>71000</v>
      </c>
      <c r="G63" s="85"/>
      <c r="H63" s="74"/>
      <c r="I63" s="74"/>
      <c r="J63" s="74"/>
      <c r="K63" s="33">
        <f>0+J63+G63+H63</f>
        <v>0</v>
      </c>
      <c r="L63" s="33">
        <f>37251.43+K63</f>
        <v>37251.43</v>
      </c>
      <c r="M63" s="34">
        <f t="shared" si="6"/>
        <v>8600</v>
      </c>
      <c r="N63" s="63">
        <f t="shared" si="6"/>
        <v>33748.57</v>
      </c>
      <c r="O63" s="64">
        <v>0</v>
      </c>
      <c r="P63" s="65">
        <v>0</v>
      </c>
      <c r="Q63" s="1"/>
      <c r="R63" s="1"/>
    </row>
    <row r="64" spans="1:18" ht="48" customHeight="1" thickBot="1">
      <c r="A64" s="86" t="s">
        <v>100</v>
      </c>
      <c r="B64" s="382" t="s">
        <v>101</v>
      </c>
      <c r="C64" s="383"/>
      <c r="D64" s="384"/>
      <c r="E64" s="53">
        <f>E65</f>
        <v>0</v>
      </c>
      <c r="F64" s="73">
        <f>F65+F66</f>
        <v>522900</v>
      </c>
      <c r="G64" s="75">
        <f>G65+G66</f>
        <v>79460</v>
      </c>
      <c r="H64" s="55"/>
      <c r="I64" s="55">
        <f>I66</f>
        <v>0</v>
      </c>
      <c r="J64" s="55">
        <f>J65+J66</f>
        <v>0</v>
      </c>
      <c r="K64" s="55">
        <f>K65+K66</f>
        <v>79460</v>
      </c>
      <c r="L64" s="55">
        <f>L65+L66</f>
        <v>107160</v>
      </c>
      <c r="M64" s="56">
        <f t="shared" si="6"/>
        <v>-79460</v>
      </c>
      <c r="N64" s="70">
        <f t="shared" si="6"/>
        <v>415740</v>
      </c>
      <c r="O64" s="58">
        <v>0</v>
      </c>
      <c r="P64" s="59">
        <v>0</v>
      </c>
      <c r="Q64" s="1"/>
      <c r="R64" s="1"/>
    </row>
    <row r="65" spans="1:18" ht="27.75" customHeight="1" thickBot="1">
      <c r="A65" s="60" t="s">
        <v>102</v>
      </c>
      <c r="B65" s="301" t="s">
        <v>53</v>
      </c>
      <c r="C65" s="302"/>
      <c r="D65" s="303"/>
      <c r="E65" s="45"/>
      <c r="F65" s="31">
        <f>522900+E65</f>
        <v>522900</v>
      </c>
      <c r="G65" s="74">
        <v>79460</v>
      </c>
      <c r="H65" s="33"/>
      <c r="I65" s="33"/>
      <c r="J65" s="33"/>
      <c r="K65" s="33">
        <f>0+G65</f>
        <v>79460</v>
      </c>
      <c r="L65" s="33">
        <f>27700+K65</f>
        <v>107160</v>
      </c>
      <c r="M65" s="34">
        <f t="shared" si="6"/>
        <v>-79460</v>
      </c>
      <c r="N65" s="35">
        <f t="shared" si="6"/>
        <v>415740</v>
      </c>
      <c r="O65" s="64">
        <v>0</v>
      </c>
      <c r="P65" s="65">
        <v>0</v>
      </c>
      <c r="Q65" s="1"/>
      <c r="R65" s="1"/>
    </row>
    <row r="66" spans="1:18" ht="21" customHeight="1" thickBot="1">
      <c r="A66" s="60" t="s">
        <v>103</v>
      </c>
      <c r="B66" s="391" t="s">
        <v>104</v>
      </c>
      <c r="C66" s="392"/>
      <c r="D66" s="466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42" customHeight="1" thickBot="1">
      <c r="A67" s="69" t="s">
        <v>105</v>
      </c>
      <c r="B67" s="385" t="s">
        <v>209</v>
      </c>
      <c r="C67" s="386"/>
      <c r="D67" s="387"/>
      <c r="E67" s="53">
        <f>E68</f>
        <v>0</v>
      </c>
      <c r="F67" s="73">
        <f>F68+F69+F70</f>
        <v>316250</v>
      </c>
      <c r="G67" s="75">
        <f>G68+G69</f>
        <v>28900</v>
      </c>
      <c r="H67" s="55"/>
      <c r="I67" s="55"/>
      <c r="J67" s="55"/>
      <c r="K67" s="55">
        <f>K68+K69+K70</f>
        <v>28900</v>
      </c>
      <c r="L67" s="55">
        <f>25730+K67</f>
        <v>54630</v>
      </c>
      <c r="M67" s="56">
        <f t="shared" si="6"/>
        <v>-28900</v>
      </c>
      <c r="N67" s="70">
        <f t="shared" si="6"/>
        <v>261620</v>
      </c>
      <c r="O67" s="58">
        <v>0</v>
      </c>
      <c r="P67" s="59">
        <v>0</v>
      </c>
      <c r="Q67" s="1"/>
      <c r="R67" s="37"/>
    </row>
    <row r="68" spans="1:18" ht="30.75" customHeight="1" thickBot="1">
      <c r="A68" s="60" t="s">
        <v>107</v>
      </c>
      <c r="B68" s="319" t="s">
        <v>53</v>
      </c>
      <c r="C68" s="320"/>
      <c r="D68" s="321"/>
      <c r="E68" s="61"/>
      <c r="F68" s="31">
        <f>316250+E68</f>
        <v>316250</v>
      </c>
      <c r="G68" s="74">
        <v>28900</v>
      </c>
      <c r="H68" s="33"/>
      <c r="I68" s="33"/>
      <c r="J68" s="33"/>
      <c r="K68" s="33">
        <f>G68</f>
        <v>28900</v>
      </c>
      <c r="L68" s="33">
        <f>1000+K68</f>
        <v>29900</v>
      </c>
      <c r="M68" s="34">
        <f>E68-K68</f>
        <v>-28900</v>
      </c>
      <c r="N68" s="35">
        <f t="shared" si="6"/>
        <v>286350</v>
      </c>
      <c r="O68" s="64">
        <v>0</v>
      </c>
      <c r="P68" s="65">
        <v>0</v>
      </c>
      <c r="Q68" s="1"/>
      <c r="R68" s="37"/>
    </row>
    <row r="69" spans="1:18" ht="18.75" customHeight="1" thickBot="1">
      <c r="A69" s="60" t="s">
        <v>108</v>
      </c>
      <c r="B69" s="391" t="s">
        <v>104</v>
      </c>
      <c r="C69" s="392"/>
      <c r="D69" s="466"/>
      <c r="E69" s="61"/>
      <c r="F69" s="31"/>
      <c r="G69" s="74"/>
      <c r="H69" s="33"/>
      <c r="I69" s="33"/>
      <c r="J69" s="33"/>
      <c r="K69" s="33">
        <f>G69</f>
        <v>0</v>
      </c>
      <c r="L69" s="33">
        <f>24730+K69</f>
        <v>24730</v>
      </c>
      <c r="M69" s="34">
        <f>E69-K69</f>
        <v>0</v>
      </c>
      <c r="N69" s="35">
        <f t="shared" si="6"/>
        <v>-24730</v>
      </c>
      <c r="O69" s="64">
        <v>0</v>
      </c>
      <c r="P69" s="65">
        <v>0</v>
      </c>
      <c r="Q69" s="1"/>
      <c r="R69" s="37"/>
    </row>
    <row r="70" spans="1:18" ht="15.75" customHeight="1" thickBot="1">
      <c r="A70" s="60" t="s">
        <v>109</v>
      </c>
      <c r="B70" s="319" t="s">
        <v>55</v>
      </c>
      <c r="C70" s="320"/>
      <c r="D70" s="321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3.25" customHeight="1" thickBot="1">
      <c r="A71" s="87" t="s">
        <v>110</v>
      </c>
      <c r="B71" s="379" t="s">
        <v>111</v>
      </c>
      <c r="C71" s="380"/>
      <c r="D71" s="381"/>
      <c r="E71" s="53">
        <f>E72+E73</f>
        <v>3000</v>
      </c>
      <c r="F71" s="73">
        <f>F72</f>
        <v>27000</v>
      </c>
      <c r="G71" s="75">
        <f>G72+G73</f>
        <v>1720</v>
      </c>
      <c r="H71" s="55"/>
      <c r="I71" s="55"/>
      <c r="J71" s="55"/>
      <c r="K71" s="55">
        <f>G71</f>
        <v>1720</v>
      </c>
      <c r="L71" s="55">
        <f>L72</f>
        <v>48777.34</v>
      </c>
      <c r="M71" s="56">
        <f t="shared" si="6"/>
        <v>1280</v>
      </c>
      <c r="N71" s="70">
        <f t="shared" si="6"/>
        <v>-21777.339999999997</v>
      </c>
      <c r="O71" s="58">
        <v>0</v>
      </c>
      <c r="P71" s="59">
        <v>0</v>
      </c>
      <c r="Q71" s="1"/>
      <c r="R71" s="1"/>
    </row>
    <row r="72" spans="1:18" ht="27.75" customHeight="1" thickBot="1">
      <c r="A72" s="60" t="s">
        <v>107</v>
      </c>
      <c r="B72" s="301" t="s">
        <v>53</v>
      </c>
      <c r="C72" s="302"/>
      <c r="D72" s="303"/>
      <c r="E72" s="61">
        <v>3000</v>
      </c>
      <c r="F72" s="31">
        <f>24000+E72</f>
        <v>27000</v>
      </c>
      <c r="G72" s="74">
        <v>1720</v>
      </c>
      <c r="H72" s="33"/>
      <c r="I72" s="33"/>
      <c r="J72" s="33"/>
      <c r="K72" s="33">
        <f>G72</f>
        <v>1720</v>
      </c>
      <c r="L72" s="33">
        <f>47057.34+K72</f>
        <v>48777.34</v>
      </c>
      <c r="M72" s="34">
        <f t="shared" si="6"/>
        <v>1280</v>
      </c>
      <c r="N72" s="35">
        <f t="shared" si="6"/>
        <v>-21777.339999999997</v>
      </c>
      <c r="O72" s="64">
        <v>0</v>
      </c>
      <c r="P72" s="65">
        <v>0</v>
      </c>
      <c r="Q72" s="1"/>
      <c r="R72" s="1"/>
    </row>
    <row r="73" spans="1:18" ht="27.75" customHeight="1" thickBot="1">
      <c r="A73" s="60" t="s">
        <v>109</v>
      </c>
      <c r="B73" s="301" t="s">
        <v>55</v>
      </c>
      <c r="C73" s="302"/>
      <c r="D73" s="303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aca="true" t="shared" si="7" ref="M73:N82">E73-K73</f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5" customHeight="1" thickBot="1">
      <c r="A74" s="87" t="s">
        <v>112</v>
      </c>
      <c r="B74" s="379" t="s">
        <v>113</v>
      </c>
      <c r="C74" s="380"/>
      <c r="D74" s="381"/>
      <c r="E74" s="53">
        <f>E75</f>
        <v>16250</v>
      </c>
      <c r="F74" s="73">
        <f>F75+F76</f>
        <v>153250</v>
      </c>
      <c r="G74" s="75">
        <f>G75+G76+G77</f>
        <v>4406</v>
      </c>
      <c r="H74" s="55"/>
      <c r="I74" s="55">
        <f>I75+I76</f>
        <v>0</v>
      </c>
      <c r="J74" s="55"/>
      <c r="K74" s="55">
        <f>K75+K76+K77</f>
        <v>4406</v>
      </c>
      <c r="L74" s="55">
        <f>L75+L76+L77</f>
        <v>44316.22</v>
      </c>
      <c r="M74" s="56">
        <f t="shared" si="7"/>
        <v>11844</v>
      </c>
      <c r="N74" s="70">
        <f t="shared" si="7"/>
        <v>108933.78</v>
      </c>
      <c r="O74" s="58">
        <v>0</v>
      </c>
      <c r="P74" s="59">
        <v>0</v>
      </c>
      <c r="Q74" s="1"/>
      <c r="R74" s="1"/>
    </row>
    <row r="75" spans="1:18" ht="28.5" customHeight="1" thickBot="1">
      <c r="A75" s="60" t="s">
        <v>114</v>
      </c>
      <c r="B75" s="301" t="s">
        <v>53</v>
      </c>
      <c r="C75" s="302"/>
      <c r="D75" s="303"/>
      <c r="E75" s="61">
        <v>16250</v>
      </c>
      <c r="F75" s="31">
        <f>137000+E75</f>
        <v>153250</v>
      </c>
      <c r="G75" s="74">
        <v>4406</v>
      </c>
      <c r="H75" s="33"/>
      <c r="I75" s="33"/>
      <c r="J75" s="33"/>
      <c r="K75" s="33">
        <f>G75</f>
        <v>4406</v>
      </c>
      <c r="L75" s="33">
        <f>36910.22+K75</f>
        <v>41316.22</v>
      </c>
      <c r="M75" s="34">
        <f>E75-K75</f>
        <v>11844</v>
      </c>
      <c r="N75" s="35">
        <f t="shared" si="7"/>
        <v>111933.78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391" t="s">
        <v>104</v>
      </c>
      <c r="C76" s="392"/>
      <c r="D76" s="466"/>
      <c r="E76" s="81"/>
      <c r="F76" s="31"/>
      <c r="G76" s="74"/>
      <c r="H76" s="33"/>
      <c r="I76" s="33"/>
      <c r="J76" s="33"/>
      <c r="K76" s="33">
        <f>I76</f>
        <v>0</v>
      </c>
      <c r="L76" s="33">
        <f>3000+K76</f>
        <v>3000</v>
      </c>
      <c r="M76" s="34">
        <f t="shared" si="7"/>
        <v>0</v>
      </c>
      <c r="N76" s="35">
        <f t="shared" si="7"/>
        <v>-3000</v>
      </c>
      <c r="O76" s="64">
        <v>0</v>
      </c>
      <c r="P76" s="65">
        <v>0</v>
      </c>
      <c r="Q76" s="1"/>
      <c r="R76" s="1"/>
    </row>
    <row r="77" spans="1:18" ht="15.75" customHeight="1" thickBot="1">
      <c r="A77" s="60" t="s">
        <v>116</v>
      </c>
      <c r="B77" s="476" t="s">
        <v>55</v>
      </c>
      <c r="C77" s="477"/>
      <c r="D77" s="478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60" customHeight="1" thickBot="1">
      <c r="A78" s="69" t="s">
        <v>117</v>
      </c>
      <c r="B78" s="357" t="s">
        <v>118</v>
      </c>
      <c r="C78" s="358"/>
      <c r="D78" s="359"/>
      <c r="E78" s="53">
        <f>E79</f>
        <v>1500</v>
      </c>
      <c r="F78" s="73">
        <f>F79</f>
        <v>4000</v>
      </c>
      <c r="G78" s="75">
        <f>G79</f>
        <v>1527</v>
      </c>
      <c r="H78" s="55"/>
      <c r="I78" s="55"/>
      <c r="J78" s="55"/>
      <c r="K78" s="55">
        <f>0+J78+G78</f>
        <v>1527</v>
      </c>
      <c r="L78" s="55">
        <f>L79</f>
        <v>1527</v>
      </c>
      <c r="M78" s="56">
        <f t="shared" si="7"/>
        <v>-27</v>
      </c>
      <c r="N78" s="70">
        <f t="shared" si="7"/>
        <v>2473</v>
      </c>
      <c r="O78" s="58">
        <v>0</v>
      </c>
      <c r="P78" s="59">
        <v>0</v>
      </c>
      <c r="Q78" s="1"/>
      <c r="R78" s="1"/>
    </row>
    <row r="79" spans="1:18" ht="29.25" customHeight="1" thickBot="1">
      <c r="A79" s="60" t="s">
        <v>119</v>
      </c>
      <c r="B79" s="301" t="s">
        <v>53</v>
      </c>
      <c r="C79" s="302"/>
      <c r="D79" s="303"/>
      <c r="E79" s="81">
        <v>1500</v>
      </c>
      <c r="F79" s="31">
        <f>2500+E79</f>
        <v>4000</v>
      </c>
      <c r="G79" s="74">
        <v>1527</v>
      </c>
      <c r="H79" s="33"/>
      <c r="I79" s="33"/>
      <c r="J79" s="33"/>
      <c r="K79" s="33">
        <f>0+J79+G79</f>
        <v>1527</v>
      </c>
      <c r="L79" s="33">
        <f>0+K79</f>
        <v>1527</v>
      </c>
      <c r="M79" s="34">
        <f>E79-K79</f>
        <v>-27</v>
      </c>
      <c r="N79" s="35">
        <f t="shared" si="7"/>
        <v>2473</v>
      </c>
      <c r="O79" s="64">
        <v>0</v>
      </c>
      <c r="P79" s="65">
        <v>0</v>
      </c>
      <c r="Q79" s="1"/>
      <c r="R79" s="1"/>
    </row>
    <row r="80" spans="1:18" ht="23.25" customHeight="1" thickBot="1">
      <c r="A80" s="69" t="s">
        <v>120</v>
      </c>
      <c r="B80" s="357" t="s">
        <v>121</v>
      </c>
      <c r="C80" s="358"/>
      <c r="D80" s="359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15152.88</v>
      </c>
      <c r="M80" s="56">
        <f t="shared" si="7"/>
        <v>0</v>
      </c>
      <c r="N80" s="70">
        <f t="shared" si="7"/>
        <v>3347.120000000001</v>
      </c>
      <c r="O80" s="58">
        <v>0</v>
      </c>
      <c r="P80" s="59">
        <v>0</v>
      </c>
      <c r="Q80" s="1"/>
      <c r="R80" s="1"/>
    </row>
    <row r="81" spans="1:18" ht="26.25" customHeight="1" thickBot="1">
      <c r="A81" s="60" t="s">
        <v>122</v>
      </c>
      <c r="B81" s="388" t="s">
        <v>53</v>
      </c>
      <c r="C81" s="389"/>
      <c r="D81" s="3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15152.88+L82</f>
        <v>15152.88</v>
      </c>
      <c r="M81" s="34">
        <f t="shared" si="7"/>
        <v>0</v>
      </c>
      <c r="N81" s="35">
        <f t="shared" si="7"/>
        <v>3347.120000000001</v>
      </c>
      <c r="O81" s="64">
        <v>0</v>
      </c>
      <c r="P81" s="65">
        <v>0</v>
      </c>
      <c r="Q81" s="1"/>
      <c r="R81" s="1"/>
    </row>
    <row r="82" spans="1:18" ht="19.5" customHeight="1" thickBot="1">
      <c r="A82" s="60" t="s">
        <v>123</v>
      </c>
      <c r="B82" s="351" t="s">
        <v>55</v>
      </c>
      <c r="C82" s="352"/>
      <c r="D82" s="353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.75" customHeight="1" thickBot="1">
      <c r="A83" s="360"/>
      <c r="B83" s="368" t="s">
        <v>14</v>
      </c>
      <c r="C83" s="369"/>
      <c r="D83" s="370"/>
      <c r="E83" s="374" t="s">
        <v>24</v>
      </c>
      <c r="F83" s="376" t="s">
        <v>25</v>
      </c>
      <c r="G83" s="296" t="s">
        <v>44</v>
      </c>
      <c r="H83" s="378"/>
      <c r="I83" s="378"/>
      <c r="J83" s="378"/>
      <c r="K83" s="297"/>
      <c r="L83" s="355" t="s">
        <v>16</v>
      </c>
      <c r="M83" s="355" t="s">
        <v>17</v>
      </c>
      <c r="N83" s="355" t="s">
        <v>18</v>
      </c>
      <c r="O83" s="355" t="s">
        <v>19</v>
      </c>
      <c r="P83" s="355" t="s">
        <v>20</v>
      </c>
      <c r="Q83" s="1"/>
      <c r="R83" s="1"/>
    </row>
    <row r="84" spans="1:18" ht="69" customHeight="1" thickBot="1">
      <c r="A84" s="361"/>
      <c r="B84" s="371"/>
      <c r="C84" s="372"/>
      <c r="D84" s="373"/>
      <c r="E84" s="375"/>
      <c r="F84" s="377"/>
      <c r="G84" s="278" t="s">
        <v>45</v>
      </c>
      <c r="H84" s="278" t="s">
        <v>46</v>
      </c>
      <c r="I84" s="278" t="s">
        <v>47</v>
      </c>
      <c r="J84" s="7" t="s">
        <v>124</v>
      </c>
      <c r="K84" s="8" t="s">
        <v>27</v>
      </c>
      <c r="L84" s="356"/>
      <c r="M84" s="356"/>
      <c r="N84" s="356"/>
      <c r="O84" s="356"/>
      <c r="P84" s="356"/>
      <c r="Q84" s="1"/>
      <c r="R84" s="1" t="s">
        <v>210</v>
      </c>
    </row>
    <row r="85" spans="1:18" ht="15.75" thickBot="1">
      <c r="A85" s="60"/>
      <c r="B85" s="316">
        <v>1</v>
      </c>
      <c r="C85" s="317"/>
      <c r="D85" s="318"/>
      <c r="E85" s="17" t="s">
        <v>22</v>
      </c>
      <c r="F85" s="278">
        <v>3</v>
      </c>
      <c r="G85" s="278">
        <v>4</v>
      </c>
      <c r="H85" s="278">
        <v>5</v>
      </c>
      <c r="I85" s="7">
        <v>6</v>
      </c>
      <c r="J85" s="7">
        <v>7</v>
      </c>
      <c r="K85" s="48">
        <v>8</v>
      </c>
      <c r="L85" s="275">
        <v>9</v>
      </c>
      <c r="M85" s="7">
        <v>10</v>
      </c>
      <c r="N85" s="275">
        <v>11</v>
      </c>
      <c r="O85" s="7">
        <v>12</v>
      </c>
      <c r="P85" s="275">
        <v>13</v>
      </c>
      <c r="Q85" s="1"/>
      <c r="R85" s="1"/>
    </row>
    <row r="86" spans="1:18" ht="46.5" customHeight="1" thickBot="1">
      <c r="A86" s="51" t="s">
        <v>125</v>
      </c>
      <c r="B86" s="357" t="s">
        <v>126</v>
      </c>
      <c r="C86" s="358"/>
      <c r="D86" s="359"/>
      <c r="E86" s="53">
        <f>E87</f>
        <v>29450</v>
      </c>
      <c r="F86" s="73">
        <f>F87+F88+F89+F90</f>
        <v>282050</v>
      </c>
      <c r="G86" s="53">
        <f>G87+G88+G89+G90</f>
        <v>17592.489999999998</v>
      </c>
      <c r="H86" s="55"/>
      <c r="I86" s="55">
        <f>I87+I88+I89</f>
        <v>0</v>
      </c>
      <c r="J86" s="55"/>
      <c r="K86" s="93">
        <f>K87+K88+K89+K90</f>
        <v>17592.489999999998</v>
      </c>
      <c r="L86" s="55">
        <f>L87+L88+L89+L90</f>
        <v>202994.89</v>
      </c>
      <c r="M86" s="56">
        <f aca="true" t="shared" si="8" ref="M86:N101">E86-K86</f>
        <v>11857.510000000002</v>
      </c>
      <c r="N86" s="70">
        <f t="shared" si="8"/>
        <v>79055.10999999999</v>
      </c>
      <c r="O86" s="58">
        <v>0</v>
      </c>
      <c r="P86" s="59">
        <v>0</v>
      </c>
      <c r="Q86" s="37"/>
      <c r="R86" s="1"/>
    </row>
    <row r="87" spans="1:18" ht="32.25" customHeight="1" thickBot="1">
      <c r="A87" s="60" t="s">
        <v>127</v>
      </c>
      <c r="B87" s="301" t="s">
        <v>53</v>
      </c>
      <c r="C87" s="302"/>
      <c r="D87" s="303"/>
      <c r="E87" s="61">
        <f>E91+E92+E94+E95+E96+E98+E97+E93</f>
        <v>29450</v>
      </c>
      <c r="F87" s="31">
        <f>252600+E87</f>
        <v>282050</v>
      </c>
      <c r="G87" s="45">
        <f>G92+G94+G95+G96+G91+G98</f>
        <v>17592.489999999998</v>
      </c>
      <c r="H87" s="33"/>
      <c r="I87" s="33"/>
      <c r="J87" s="33"/>
      <c r="K87" s="94">
        <f>G87</f>
        <v>17592.489999999998</v>
      </c>
      <c r="L87" s="33">
        <f>L91+L92+L94+L95+L96+L97+L98+L93-59.4-95.55</f>
        <v>202754.85</v>
      </c>
      <c r="M87" s="34">
        <f t="shared" si="8"/>
        <v>11857.510000000002</v>
      </c>
      <c r="N87" s="35">
        <f t="shared" si="8"/>
        <v>79295.15</v>
      </c>
      <c r="O87" s="64">
        <v>0</v>
      </c>
      <c r="P87" s="65">
        <v>0</v>
      </c>
      <c r="Q87" s="37"/>
      <c r="R87" s="1"/>
    </row>
    <row r="88" spans="1:18" ht="20.25" customHeight="1" thickBot="1">
      <c r="A88" s="60" t="s">
        <v>128</v>
      </c>
      <c r="B88" s="351" t="s">
        <v>51</v>
      </c>
      <c r="C88" s="352"/>
      <c r="D88" s="353"/>
      <c r="E88" s="61"/>
      <c r="F88" s="31"/>
      <c r="G88" s="45"/>
      <c r="H88" s="33"/>
      <c r="I88" s="33"/>
      <c r="J88" s="33"/>
      <c r="K88" s="94">
        <f aca="true" t="shared" si="9" ref="K88:K97">G88</f>
        <v>0</v>
      </c>
      <c r="L88" s="33"/>
      <c r="M88" s="34">
        <f t="shared" si="8"/>
        <v>0</v>
      </c>
      <c r="N88" s="35">
        <f t="shared" si="8"/>
        <v>0</v>
      </c>
      <c r="O88" s="64">
        <v>0</v>
      </c>
      <c r="P88" s="65">
        <v>0</v>
      </c>
      <c r="Q88" s="37"/>
      <c r="R88" s="1"/>
    </row>
    <row r="89" spans="1:18" ht="28.5" customHeight="1" thickBot="1">
      <c r="A89" s="60" t="s">
        <v>129</v>
      </c>
      <c r="B89" s="301" t="s">
        <v>104</v>
      </c>
      <c r="C89" s="302"/>
      <c r="D89" s="303"/>
      <c r="E89" s="61"/>
      <c r="F89" s="31"/>
      <c r="G89" s="45"/>
      <c r="H89" s="33"/>
      <c r="I89" s="33">
        <f>I95</f>
        <v>0</v>
      </c>
      <c r="J89" s="33"/>
      <c r="K89" s="94">
        <f>I89</f>
        <v>0</v>
      </c>
      <c r="L89" s="33">
        <f>59.4+K89</f>
        <v>59.4</v>
      </c>
      <c r="M89" s="34">
        <f t="shared" si="8"/>
        <v>0</v>
      </c>
      <c r="N89" s="35">
        <f t="shared" si="8"/>
        <v>-59.4</v>
      </c>
      <c r="O89" s="64">
        <v>0</v>
      </c>
      <c r="P89" s="65">
        <v>0</v>
      </c>
      <c r="Q89" s="37"/>
      <c r="R89" s="1"/>
    </row>
    <row r="90" spans="1:18" ht="19.5" customHeight="1" thickBot="1">
      <c r="A90" s="60" t="s">
        <v>130</v>
      </c>
      <c r="B90" s="476" t="s">
        <v>55</v>
      </c>
      <c r="C90" s="477"/>
      <c r="D90" s="478"/>
      <c r="E90" s="61"/>
      <c r="F90" s="31"/>
      <c r="G90" s="45"/>
      <c r="H90" s="33"/>
      <c r="I90" s="33"/>
      <c r="J90" s="33"/>
      <c r="K90" s="94">
        <f t="shared" si="9"/>
        <v>0</v>
      </c>
      <c r="L90" s="33">
        <f>180.64+K90</f>
        <v>180.64</v>
      </c>
      <c r="M90" s="34">
        <f t="shared" si="8"/>
        <v>0</v>
      </c>
      <c r="N90" s="35">
        <f t="shared" si="8"/>
        <v>-180.64</v>
      </c>
      <c r="O90" s="64">
        <v>0</v>
      </c>
      <c r="P90" s="65">
        <v>0</v>
      </c>
      <c r="Q90" s="37"/>
      <c r="R90" s="80">
        <f>L91+L92+L93+L94+L95+L96+L97+L98</f>
        <v>202909.8</v>
      </c>
    </row>
    <row r="91" spans="1:18" ht="19.5" customHeight="1" thickBot="1">
      <c r="A91" s="60" t="s">
        <v>131</v>
      </c>
      <c r="B91" s="308" t="s">
        <v>132</v>
      </c>
      <c r="C91" s="309"/>
      <c r="D91" s="310"/>
      <c r="E91" s="152">
        <v>3150</v>
      </c>
      <c r="F91" s="31">
        <f>25200+E91</f>
        <v>28350</v>
      </c>
      <c r="G91" s="45">
        <v>3000</v>
      </c>
      <c r="H91" s="74"/>
      <c r="I91" s="74"/>
      <c r="J91" s="74"/>
      <c r="K91" s="94">
        <f t="shared" si="9"/>
        <v>3000</v>
      </c>
      <c r="L91" s="33">
        <f>24000+K91</f>
        <v>27000</v>
      </c>
      <c r="M91" s="34">
        <f t="shared" si="8"/>
        <v>150</v>
      </c>
      <c r="N91" s="35">
        <f t="shared" si="8"/>
        <v>1350</v>
      </c>
      <c r="O91" s="64">
        <v>0</v>
      </c>
      <c r="P91" s="65">
        <v>0</v>
      </c>
      <c r="Q91" s="1"/>
      <c r="R91" s="37">
        <f>L87+L88+L89+L90</f>
        <v>202994.89</v>
      </c>
    </row>
    <row r="92" spans="1:18" ht="33.75" customHeight="1" thickBot="1">
      <c r="A92" s="60" t="s">
        <v>133</v>
      </c>
      <c r="B92" s="322" t="s">
        <v>134</v>
      </c>
      <c r="C92" s="323"/>
      <c r="D92" s="324"/>
      <c r="E92" s="156">
        <v>4800</v>
      </c>
      <c r="F92" s="31">
        <f>38400+E92</f>
        <v>43200</v>
      </c>
      <c r="G92" s="45">
        <v>1500</v>
      </c>
      <c r="H92" s="74"/>
      <c r="I92" s="74"/>
      <c r="J92" s="74"/>
      <c r="K92" s="94">
        <f>G92</f>
        <v>1500</v>
      </c>
      <c r="L92" s="33">
        <f>14450+K92</f>
        <v>15950</v>
      </c>
      <c r="M92" s="34">
        <f t="shared" si="8"/>
        <v>3300</v>
      </c>
      <c r="N92" s="35">
        <f t="shared" si="8"/>
        <v>27250</v>
      </c>
      <c r="O92" s="64">
        <v>0</v>
      </c>
      <c r="P92" s="65">
        <v>0</v>
      </c>
      <c r="Q92" s="1"/>
      <c r="R92" s="1"/>
    </row>
    <row r="93" spans="1:18" ht="29.25" customHeight="1" thickBot="1">
      <c r="A93" s="60" t="s">
        <v>135</v>
      </c>
      <c r="B93" s="308" t="s">
        <v>136</v>
      </c>
      <c r="C93" s="309"/>
      <c r="D93" s="310"/>
      <c r="E93" s="152"/>
      <c r="F93" s="31">
        <f>0+E93</f>
        <v>0</v>
      </c>
      <c r="G93" s="45"/>
      <c r="H93" s="74"/>
      <c r="I93" s="74"/>
      <c r="J93" s="74"/>
      <c r="K93" s="94">
        <f t="shared" si="9"/>
        <v>0</v>
      </c>
      <c r="L93" s="33">
        <f>0+K93</f>
        <v>0</v>
      </c>
      <c r="M93" s="34">
        <f t="shared" si="8"/>
        <v>0</v>
      </c>
      <c r="N93" s="35">
        <f t="shared" si="8"/>
        <v>0</v>
      </c>
      <c r="O93" s="64">
        <v>0</v>
      </c>
      <c r="P93" s="65">
        <v>0</v>
      </c>
      <c r="Q93" s="1"/>
      <c r="R93" s="1"/>
    </row>
    <row r="94" spans="1:18" ht="32.25" customHeight="1" thickBot="1">
      <c r="A94" s="60" t="s">
        <v>137</v>
      </c>
      <c r="B94" s="308" t="s">
        <v>138</v>
      </c>
      <c r="C94" s="309"/>
      <c r="D94" s="310"/>
      <c r="E94" s="156">
        <v>1300</v>
      </c>
      <c r="F94" s="31">
        <f>10400+E94</f>
        <v>11700</v>
      </c>
      <c r="G94" s="45"/>
      <c r="H94" s="74"/>
      <c r="I94" s="74"/>
      <c r="J94" s="74"/>
      <c r="K94" s="94">
        <f t="shared" si="9"/>
        <v>0</v>
      </c>
      <c r="L94" s="33">
        <f>17285+K94</f>
        <v>17285</v>
      </c>
      <c r="M94" s="34">
        <f t="shared" si="8"/>
        <v>1300</v>
      </c>
      <c r="N94" s="35">
        <f t="shared" si="8"/>
        <v>-5585</v>
      </c>
      <c r="O94" s="64">
        <v>0</v>
      </c>
      <c r="P94" s="65">
        <v>0</v>
      </c>
      <c r="Q94" s="1"/>
      <c r="R94" s="190" t="s">
        <v>250</v>
      </c>
    </row>
    <row r="95" spans="1:18" ht="18" customHeight="1" thickBot="1">
      <c r="A95" s="60" t="s">
        <v>139</v>
      </c>
      <c r="B95" s="308" t="s">
        <v>140</v>
      </c>
      <c r="C95" s="309"/>
      <c r="D95" s="310"/>
      <c r="E95" s="152">
        <v>7000</v>
      </c>
      <c r="F95" s="31">
        <f>52000+E95</f>
        <v>59000</v>
      </c>
      <c r="G95" s="45">
        <v>4665.89</v>
      </c>
      <c r="H95" s="74"/>
      <c r="I95" s="74"/>
      <c r="J95" s="74"/>
      <c r="K95" s="94">
        <f>G95+I95</f>
        <v>4665.89</v>
      </c>
      <c r="L95" s="33">
        <f>46707.33+K95</f>
        <v>51373.22</v>
      </c>
      <c r="M95" s="34">
        <f t="shared" si="8"/>
        <v>2334.1099999999997</v>
      </c>
      <c r="N95" s="35">
        <f t="shared" si="8"/>
        <v>7626.779999999999</v>
      </c>
      <c r="O95" s="64">
        <v>0</v>
      </c>
      <c r="P95" s="65">
        <v>0</v>
      </c>
      <c r="Q95" s="1"/>
      <c r="R95" s="71">
        <f>F91+F92+F93+F94+F95+F96+F97+F98</f>
        <v>282050</v>
      </c>
    </row>
    <row r="96" spans="1:16" ht="21.75" customHeight="1" thickBot="1">
      <c r="A96" s="60" t="s">
        <v>141</v>
      </c>
      <c r="B96" s="463" t="s">
        <v>142</v>
      </c>
      <c r="C96" s="464"/>
      <c r="D96" s="465"/>
      <c r="E96" s="152">
        <v>3300</v>
      </c>
      <c r="F96" s="31">
        <f>26400+E96</f>
        <v>29700</v>
      </c>
      <c r="G96" s="45">
        <v>1750</v>
      </c>
      <c r="H96" s="74"/>
      <c r="I96" s="74"/>
      <c r="J96" s="74"/>
      <c r="K96" s="94">
        <f t="shared" si="9"/>
        <v>1750</v>
      </c>
      <c r="L96" s="33">
        <f>16500+K96</f>
        <v>18250</v>
      </c>
      <c r="M96" s="34">
        <f t="shared" si="8"/>
        <v>1550</v>
      </c>
      <c r="N96" s="35">
        <f t="shared" si="8"/>
        <v>11450</v>
      </c>
      <c r="O96" s="64">
        <v>0</v>
      </c>
      <c r="P96" s="65">
        <v>0</v>
      </c>
    </row>
    <row r="97" spans="1:16" ht="33" customHeight="1" thickBot="1">
      <c r="A97" s="60" t="s">
        <v>143</v>
      </c>
      <c r="B97" s="308" t="s">
        <v>144</v>
      </c>
      <c r="C97" s="309"/>
      <c r="D97" s="310"/>
      <c r="E97" s="152"/>
      <c r="F97" s="31">
        <f>21000+E97</f>
        <v>21000</v>
      </c>
      <c r="G97" s="45"/>
      <c r="H97" s="74"/>
      <c r="I97" s="74"/>
      <c r="J97" s="74"/>
      <c r="K97" s="94">
        <f t="shared" si="9"/>
        <v>0</v>
      </c>
      <c r="L97" s="33">
        <f>21546+K97</f>
        <v>21546</v>
      </c>
      <c r="M97" s="34">
        <f t="shared" si="8"/>
        <v>0</v>
      </c>
      <c r="N97" s="35">
        <f t="shared" si="8"/>
        <v>-546</v>
      </c>
      <c r="O97" s="64">
        <v>0</v>
      </c>
      <c r="P97" s="65">
        <v>0</v>
      </c>
    </row>
    <row r="98" spans="1:16" ht="23.25" customHeight="1" thickBot="1">
      <c r="A98" s="60" t="s">
        <v>145</v>
      </c>
      <c r="B98" s="308" t="s">
        <v>146</v>
      </c>
      <c r="C98" s="309"/>
      <c r="D98" s="310"/>
      <c r="E98" s="152">
        <v>9900</v>
      </c>
      <c r="F98" s="31">
        <f>79200+E98</f>
        <v>89100</v>
      </c>
      <c r="G98" s="45">
        <v>6676.6</v>
      </c>
      <c r="H98" s="74"/>
      <c r="I98" s="74"/>
      <c r="J98" s="74"/>
      <c r="K98" s="94">
        <f>G98</f>
        <v>6676.6</v>
      </c>
      <c r="L98" s="33">
        <f>44828.98+K98</f>
        <v>51505.58</v>
      </c>
      <c r="M98" s="34">
        <f t="shared" si="8"/>
        <v>3223.3999999999996</v>
      </c>
      <c r="N98" s="35">
        <f t="shared" si="8"/>
        <v>37594.42</v>
      </c>
      <c r="O98" s="64">
        <v>0</v>
      </c>
      <c r="P98" s="65">
        <v>0</v>
      </c>
    </row>
    <row r="99" spans="1:18" ht="42" customHeight="1" thickBot="1">
      <c r="A99" s="86" t="s">
        <v>147</v>
      </c>
      <c r="B99" s="354" t="s">
        <v>148</v>
      </c>
      <c r="C99" s="306"/>
      <c r="D99" s="307"/>
      <c r="E99" s="73">
        <f>E100+E101</f>
        <v>4600</v>
      </c>
      <c r="F99" s="73">
        <f>F100+F101+F102+F103</f>
        <v>1297390</v>
      </c>
      <c r="G99" s="73">
        <f>G100+G102+G103</f>
        <v>2021.2800000000002</v>
      </c>
      <c r="H99" s="75">
        <f>H101</f>
        <v>0</v>
      </c>
      <c r="I99" s="55">
        <f>I102</f>
        <v>0</v>
      </c>
      <c r="J99" s="55"/>
      <c r="K99" s="73">
        <f>G99+H99+I99+J99</f>
        <v>2021.2800000000002</v>
      </c>
      <c r="L99" s="55">
        <f>L100+L101+L102+L103</f>
        <v>572602.4600000001</v>
      </c>
      <c r="M99" s="56">
        <f t="shared" si="8"/>
        <v>2578.72</v>
      </c>
      <c r="N99" s="70">
        <f t="shared" si="8"/>
        <v>724787.5399999999</v>
      </c>
      <c r="O99" s="58">
        <v>0</v>
      </c>
      <c r="P99" s="59">
        <v>0</v>
      </c>
      <c r="R99" s="95">
        <f>L100+L102-L99</f>
        <v>-399.5200000000186</v>
      </c>
    </row>
    <row r="100" spans="1:18" ht="32.25" customHeight="1" thickBot="1">
      <c r="A100" s="60" t="s">
        <v>149</v>
      </c>
      <c r="B100" s="301" t="s">
        <v>53</v>
      </c>
      <c r="C100" s="302"/>
      <c r="D100" s="303"/>
      <c r="E100" s="61">
        <f>E104+E105+E112+E117+E129+E111+E126+E113+E118+E130</f>
        <v>4600</v>
      </c>
      <c r="F100" s="31">
        <f>1292790+E100</f>
        <v>1297390</v>
      </c>
      <c r="G100" s="74">
        <f>G111++G105+G112+G116+G118+G126+G117+G104+G130</f>
        <v>2021.2800000000002</v>
      </c>
      <c r="H100" s="74"/>
      <c r="I100" s="33"/>
      <c r="J100" s="33"/>
      <c r="K100" s="94">
        <f>G100</f>
        <v>2021.2800000000002</v>
      </c>
      <c r="L100" s="33">
        <f>570181.66+K100</f>
        <v>572202.9400000001</v>
      </c>
      <c r="M100" s="34">
        <f t="shared" si="8"/>
        <v>2578.72</v>
      </c>
      <c r="N100" s="35">
        <f t="shared" si="8"/>
        <v>725187.0599999999</v>
      </c>
      <c r="O100" s="64">
        <v>0</v>
      </c>
      <c r="P100" s="65">
        <v>0</v>
      </c>
      <c r="R100" s="95"/>
    </row>
    <row r="101" spans="1:18" ht="21" customHeight="1" thickBot="1">
      <c r="A101" s="60" t="s">
        <v>150</v>
      </c>
      <c r="B101" s="351" t="s">
        <v>51</v>
      </c>
      <c r="C101" s="352"/>
      <c r="D101" s="353"/>
      <c r="E101" s="61">
        <f>E127</f>
        <v>0</v>
      </c>
      <c r="F101" s="31">
        <f>0+E101</f>
        <v>0</v>
      </c>
      <c r="G101" s="74"/>
      <c r="H101" s="74">
        <f>H127</f>
        <v>0</v>
      </c>
      <c r="I101" s="33"/>
      <c r="J101" s="33"/>
      <c r="K101" s="94">
        <f>H101</f>
        <v>0</v>
      </c>
      <c r="L101" s="33">
        <f>0+K101</f>
        <v>0</v>
      </c>
      <c r="M101" s="34">
        <f t="shared" si="8"/>
        <v>0</v>
      </c>
      <c r="N101" s="35">
        <f t="shared" si="8"/>
        <v>0</v>
      </c>
      <c r="O101" s="64">
        <v>0</v>
      </c>
      <c r="P101" s="65">
        <v>0</v>
      </c>
      <c r="R101" s="96"/>
    </row>
    <row r="102" spans="1:16" ht="29.25" customHeight="1" thickBot="1">
      <c r="A102" s="60" t="s">
        <v>151</v>
      </c>
      <c r="B102" s="301" t="s">
        <v>104</v>
      </c>
      <c r="C102" s="302"/>
      <c r="D102" s="303"/>
      <c r="E102" s="61"/>
      <c r="F102" s="31"/>
      <c r="G102" s="31"/>
      <c r="H102" s="74"/>
      <c r="I102" s="33">
        <f>I126+I115+I129</f>
        <v>0</v>
      </c>
      <c r="J102" s="33"/>
      <c r="K102" s="94">
        <f>I102</f>
        <v>0</v>
      </c>
      <c r="L102" s="33">
        <f>0+K102</f>
        <v>0</v>
      </c>
      <c r="M102" s="34">
        <f aca="true" t="shared" si="10" ref="M102:N118">E102-K102</f>
        <v>0</v>
      </c>
      <c r="N102" s="35">
        <f t="shared" si="10"/>
        <v>0</v>
      </c>
      <c r="O102" s="64">
        <v>0</v>
      </c>
      <c r="P102" s="65">
        <v>0</v>
      </c>
    </row>
    <row r="103" spans="1:18" ht="18.75" customHeight="1" thickBot="1">
      <c r="A103" s="60" t="s">
        <v>152</v>
      </c>
      <c r="B103" s="351" t="s">
        <v>55</v>
      </c>
      <c r="C103" s="352"/>
      <c r="D103" s="353"/>
      <c r="E103" s="61"/>
      <c r="F103" s="31"/>
      <c r="G103" s="74"/>
      <c r="H103" s="74"/>
      <c r="I103" s="33"/>
      <c r="J103" s="33"/>
      <c r="K103" s="94">
        <f>G103</f>
        <v>0</v>
      </c>
      <c r="L103" s="33">
        <f>399.52+K103</f>
        <v>399.52</v>
      </c>
      <c r="M103" s="34">
        <f t="shared" si="10"/>
        <v>0</v>
      </c>
      <c r="N103" s="35">
        <f t="shared" si="10"/>
        <v>-399.52</v>
      </c>
      <c r="O103" s="64">
        <v>0</v>
      </c>
      <c r="P103" s="65">
        <v>0</v>
      </c>
      <c r="R103" s="95">
        <f>L104+L111+L112+L116+L117+L129</f>
        <v>74527.54</v>
      </c>
    </row>
    <row r="104" spans="1:16" ht="31.5" customHeight="1" thickBot="1">
      <c r="A104" s="60" t="s">
        <v>153</v>
      </c>
      <c r="B104" s="311" t="s">
        <v>154</v>
      </c>
      <c r="C104" s="312"/>
      <c r="D104" s="313"/>
      <c r="E104" s="31"/>
      <c r="F104" s="31">
        <f>40000+E104</f>
        <v>40000</v>
      </c>
      <c r="G104" s="74"/>
      <c r="H104" s="74"/>
      <c r="I104" s="74"/>
      <c r="J104" s="74"/>
      <c r="K104" s="94">
        <f aca="true" t="shared" si="11" ref="K104:K118">G104</f>
        <v>0</v>
      </c>
      <c r="L104" s="33">
        <f>18100+K104</f>
        <v>18100</v>
      </c>
      <c r="M104" s="34">
        <f t="shared" si="10"/>
        <v>0</v>
      </c>
      <c r="N104" s="35">
        <f t="shared" si="10"/>
        <v>21900</v>
      </c>
      <c r="O104" s="64">
        <v>0</v>
      </c>
      <c r="P104" s="65">
        <v>0</v>
      </c>
    </row>
    <row r="105" spans="1:16" ht="34.5" customHeight="1" thickBot="1">
      <c r="A105" s="60" t="s">
        <v>155</v>
      </c>
      <c r="B105" s="308" t="s">
        <v>156</v>
      </c>
      <c r="C105" s="309"/>
      <c r="D105" s="310"/>
      <c r="E105" s="31"/>
      <c r="F105" s="31">
        <f>16200+E105</f>
        <v>16200</v>
      </c>
      <c r="G105" s="74"/>
      <c r="H105" s="74"/>
      <c r="I105" s="74"/>
      <c r="J105" s="74"/>
      <c r="K105" s="94">
        <f t="shared" si="11"/>
        <v>0</v>
      </c>
      <c r="L105" s="33">
        <f>2980+K105</f>
        <v>2980</v>
      </c>
      <c r="M105" s="34">
        <f t="shared" si="10"/>
        <v>0</v>
      </c>
      <c r="N105" s="35">
        <f t="shared" si="10"/>
        <v>13220</v>
      </c>
      <c r="O105" s="64">
        <v>0</v>
      </c>
      <c r="P105" s="65">
        <v>0</v>
      </c>
    </row>
    <row r="106" spans="1:16" ht="28.5" customHeight="1" thickBot="1">
      <c r="A106" s="60" t="s">
        <v>157</v>
      </c>
      <c r="B106" s="348" t="s">
        <v>158</v>
      </c>
      <c r="C106" s="349"/>
      <c r="D106" s="350"/>
      <c r="E106" s="31"/>
      <c r="F106" s="31"/>
      <c r="G106" s="74"/>
      <c r="H106" s="74"/>
      <c r="I106" s="74"/>
      <c r="J106" s="74"/>
      <c r="K106" s="94">
        <f t="shared" si="11"/>
        <v>0</v>
      </c>
      <c r="L106" s="33">
        <f>0+K106</f>
        <v>0</v>
      </c>
      <c r="M106" s="34">
        <f t="shared" si="10"/>
        <v>0</v>
      </c>
      <c r="N106" s="35">
        <f t="shared" si="10"/>
        <v>0</v>
      </c>
      <c r="O106" s="64">
        <v>0</v>
      </c>
      <c r="P106" s="65">
        <v>0</v>
      </c>
    </row>
    <row r="107" spans="1:16" ht="21" customHeight="1" thickBot="1">
      <c r="A107" s="60" t="s">
        <v>159</v>
      </c>
      <c r="B107" s="308" t="s">
        <v>160</v>
      </c>
      <c r="C107" s="309"/>
      <c r="D107" s="310"/>
      <c r="E107" s="31"/>
      <c r="F107" s="31"/>
      <c r="G107" s="74"/>
      <c r="H107" s="74"/>
      <c r="I107" s="74"/>
      <c r="J107" s="74"/>
      <c r="K107" s="94">
        <f t="shared" si="11"/>
        <v>0</v>
      </c>
      <c r="L107" s="33">
        <f>0+K107</f>
        <v>0</v>
      </c>
      <c r="M107" s="34">
        <f t="shared" si="10"/>
        <v>0</v>
      </c>
      <c r="N107" s="35">
        <f t="shared" si="10"/>
        <v>0</v>
      </c>
      <c r="O107" s="64">
        <v>0</v>
      </c>
      <c r="P107" s="65">
        <v>0</v>
      </c>
    </row>
    <row r="108" spans="1:18" ht="35.25" customHeight="1" thickBot="1">
      <c r="A108" s="60" t="s">
        <v>161</v>
      </c>
      <c r="B108" s="308" t="s">
        <v>162</v>
      </c>
      <c r="C108" s="309"/>
      <c r="D108" s="310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  <c r="R108" s="96"/>
    </row>
    <row r="109" spans="1:16" ht="27.75" customHeight="1" thickBot="1">
      <c r="A109" s="60" t="s">
        <v>163</v>
      </c>
      <c r="B109" s="348" t="s">
        <v>164</v>
      </c>
      <c r="C109" s="349"/>
      <c r="D109" s="350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7200+K109</f>
        <v>7200</v>
      </c>
      <c r="M109" s="34">
        <f t="shared" si="10"/>
        <v>0</v>
      </c>
      <c r="N109" s="35">
        <f t="shared" si="10"/>
        <v>-7200</v>
      </c>
      <c r="O109" s="64">
        <v>0</v>
      </c>
      <c r="P109" s="65">
        <v>0</v>
      </c>
    </row>
    <row r="110" spans="1:16" ht="33" customHeight="1" thickBot="1">
      <c r="A110" s="60" t="s">
        <v>165</v>
      </c>
      <c r="B110" s="308" t="s">
        <v>166</v>
      </c>
      <c r="C110" s="309"/>
      <c r="D110" s="310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</row>
    <row r="111" spans="1:18" ht="23.25" customHeight="1" thickBot="1">
      <c r="A111" s="60" t="s">
        <v>167</v>
      </c>
      <c r="B111" s="308" t="s">
        <v>168</v>
      </c>
      <c r="C111" s="309"/>
      <c r="D111" s="310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41460.6+K111</f>
        <v>41460.6</v>
      </c>
      <c r="M111" s="34">
        <f t="shared" si="10"/>
        <v>0</v>
      </c>
      <c r="N111" s="35">
        <f t="shared" si="10"/>
        <v>-41460.6</v>
      </c>
      <c r="O111" s="64">
        <v>0</v>
      </c>
      <c r="P111" s="65">
        <v>0</v>
      </c>
      <c r="R111" s="95"/>
    </row>
    <row r="112" spans="1:16" ht="63" customHeight="1" thickBot="1">
      <c r="A112" s="60" t="s">
        <v>169</v>
      </c>
      <c r="B112" s="308" t="s">
        <v>170</v>
      </c>
      <c r="C112" s="309"/>
      <c r="D112" s="310"/>
      <c r="E112" s="31">
        <v>3000</v>
      </c>
      <c r="F112" s="31">
        <f>21000+E112</f>
        <v>24000</v>
      </c>
      <c r="G112" s="74">
        <v>300.3</v>
      </c>
      <c r="H112" s="74"/>
      <c r="I112" s="74"/>
      <c r="J112" s="74"/>
      <c r="K112" s="94">
        <f t="shared" si="11"/>
        <v>300.3</v>
      </c>
      <c r="L112" s="33">
        <f>8035.3+K112</f>
        <v>8335.6</v>
      </c>
      <c r="M112" s="34">
        <f>E112-K112</f>
        <v>2699.7</v>
      </c>
      <c r="N112" s="35">
        <f t="shared" si="10"/>
        <v>15664.4</v>
      </c>
      <c r="O112" s="64">
        <v>0</v>
      </c>
      <c r="P112" s="65">
        <v>0</v>
      </c>
    </row>
    <row r="113" spans="1:16" ht="33.75" customHeight="1" thickBot="1">
      <c r="A113" s="60" t="s">
        <v>171</v>
      </c>
      <c r="B113" s="308" t="s">
        <v>172</v>
      </c>
      <c r="C113" s="309"/>
      <c r="D113" s="310"/>
      <c r="E113" s="31"/>
      <c r="F113" s="31">
        <f>166000+E113</f>
        <v>166000</v>
      </c>
      <c r="G113" s="74"/>
      <c r="H113" s="74"/>
      <c r="I113" s="74"/>
      <c r="J113" s="74"/>
      <c r="K113" s="94">
        <f t="shared" si="11"/>
        <v>0</v>
      </c>
      <c r="L113" s="33">
        <f>0+K113</f>
        <v>0</v>
      </c>
      <c r="M113" s="34">
        <f t="shared" si="10"/>
        <v>0</v>
      </c>
      <c r="N113" s="35">
        <f t="shared" si="10"/>
        <v>166000</v>
      </c>
      <c r="O113" s="64">
        <v>0</v>
      </c>
      <c r="P113" s="65">
        <v>0</v>
      </c>
    </row>
    <row r="114" spans="1:16" ht="33" customHeight="1" thickBot="1">
      <c r="A114" s="60" t="s">
        <v>173</v>
      </c>
      <c r="B114" s="308" t="s">
        <v>244</v>
      </c>
      <c r="C114" s="309"/>
      <c r="D114" s="310"/>
      <c r="E114" s="31"/>
      <c r="F114" s="31">
        <f>35000+E114</f>
        <v>35000</v>
      </c>
      <c r="G114" s="74"/>
      <c r="H114" s="74"/>
      <c r="I114" s="74"/>
      <c r="J114" s="74"/>
      <c r="K114" s="94">
        <f t="shared" si="11"/>
        <v>0</v>
      </c>
      <c r="L114" s="33">
        <f>5500+K114</f>
        <v>5500</v>
      </c>
      <c r="M114" s="34">
        <f>E114-K114</f>
        <v>0</v>
      </c>
      <c r="N114" s="35">
        <f t="shared" si="10"/>
        <v>29500</v>
      </c>
      <c r="O114" s="64">
        <v>0</v>
      </c>
      <c r="P114" s="65">
        <v>0</v>
      </c>
    </row>
    <row r="115" spans="1:16" ht="30.75" customHeight="1" thickBot="1">
      <c r="A115" s="60"/>
      <c r="B115" s="308" t="s">
        <v>175</v>
      </c>
      <c r="C115" s="309"/>
      <c r="D115" s="310"/>
      <c r="E115" s="31"/>
      <c r="F115" s="31"/>
      <c r="G115" s="74"/>
      <c r="H115" s="74"/>
      <c r="I115" s="74"/>
      <c r="J115" s="74"/>
      <c r="K115" s="94">
        <f>I115</f>
        <v>0</v>
      </c>
      <c r="L115" s="33">
        <f>0+K115</f>
        <v>0</v>
      </c>
      <c r="M115" s="34">
        <f t="shared" si="10"/>
        <v>0</v>
      </c>
      <c r="N115" s="35">
        <f t="shared" si="10"/>
        <v>0</v>
      </c>
      <c r="O115" s="64">
        <v>0</v>
      </c>
      <c r="P115" s="65">
        <v>0</v>
      </c>
    </row>
    <row r="116" spans="1:16" ht="31.5" customHeight="1" thickBot="1">
      <c r="A116" s="60" t="s">
        <v>176</v>
      </c>
      <c r="B116" s="308" t="s">
        <v>177</v>
      </c>
      <c r="C116" s="309"/>
      <c r="D116" s="310"/>
      <c r="E116" s="31"/>
      <c r="F116" s="31"/>
      <c r="G116" s="74">
        <v>27.86</v>
      </c>
      <c r="H116" s="74"/>
      <c r="I116" s="74"/>
      <c r="J116" s="74"/>
      <c r="K116" s="94">
        <f>G116</f>
        <v>27.86</v>
      </c>
      <c r="L116" s="33">
        <f>6603.48+K116</f>
        <v>6631.339999999999</v>
      </c>
      <c r="M116" s="34">
        <f t="shared" si="10"/>
        <v>-27.86</v>
      </c>
      <c r="N116" s="35">
        <f t="shared" si="10"/>
        <v>-6631.339999999999</v>
      </c>
      <c r="O116" s="64">
        <v>0</v>
      </c>
      <c r="P116" s="65">
        <v>0</v>
      </c>
    </row>
    <row r="117" spans="1:18" ht="31.5" customHeight="1" thickBot="1">
      <c r="A117" s="60" t="s">
        <v>178</v>
      </c>
      <c r="B117" s="345" t="s">
        <v>179</v>
      </c>
      <c r="C117" s="346"/>
      <c r="D117" s="347"/>
      <c r="E117" s="31"/>
      <c r="F117" s="31"/>
      <c r="G117" s="74"/>
      <c r="H117" s="74"/>
      <c r="I117" s="74"/>
      <c r="J117" s="74"/>
      <c r="K117" s="94">
        <f>G117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  <c r="R117" s="96">
        <f>F129+F127+F126+F117+F113+F112+F111+F105+F104</f>
        <v>871200</v>
      </c>
    </row>
    <row r="118" spans="1:16" ht="30" customHeight="1" thickBot="1">
      <c r="A118" s="97" t="s">
        <v>180</v>
      </c>
      <c r="B118" s="308" t="s">
        <v>181</v>
      </c>
      <c r="C118" s="309"/>
      <c r="D118" s="310"/>
      <c r="E118" s="31">
        <v>1600</v>
      </c>
      <c r="F118" s="31">
        <f>9400+E118</f>
        <v>11000</v>
      </c>
      <c r="G118" s="74">
        <v>1000</v>
      </c>
      <c r="H118" s="74"/>
      <c r="I118" s="74"/>
      <c r="J118" s="74"/>
      <c r="K118" s="94">
        <f t="shared" si="11"/>
        <v>1000</v>
      </c>
      <c r="L118" s="33">
        <f>9750+K118</f>
        <v>10750</v>
      </c>
      <c r="M118" s="34">
        <f t="shared" si="10"/>
        <v>600</v>
      </c>
      <c r="N118" s="35">
        <f t="shared" si="10"/>
        <v>250</v>
      </c>
      <c r="O118" s="64">
        <v>0</v>
      </c>
      <c r="P118" s="65">
        <v>0</v>
      </c>
    </row>
    <row r="119" spans="1:16" ht="15.75" thickBot="1">
      <c r="A119" s="98"/>
      <c r="B119" s="482" t="s">
        <v>43</v>
      </c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9"/>
    </row>
    <row r="120" spans="1:16" ht="15.75" customHeight="1" hidden="1" thickBot="1">
      <c r="A120" s="99"/>
      <c r="B120" s="483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1"/>
    </row>
    <row r="121" spans="1:16" ht="15.75" thickBot="1">
      <c r="A121" s="100"/>
      <c r="B121" s="332" t="s">
        <v>14</v>
      </c>
      <c r="C121" s="333"/>
      <c r="D121" s="334"/>
      <c r="E121" s="338" t="s">
        <v>24</v>
      </c>
      <c r="F121" s="340" t="s">
        <v>25</v>
      </c>
      <c r="G121" s="342" t="s">
        <v>44</v>
      </c>
      <c r="H121" s="343"/>
      <c r="I121" s="343"/>
      <c r="J121" s="343"/>
      <c r="K121" s="344"/>
      <c r="L121" s="314" t="s">
        <v>16</v>
      </c>
      <c r="M121" s="314" t="s">
        <v>17</v>
      </c>
      <c r="N121" s="314" t="s">
        <v>18</v>
      </c>
      <c r="O121" s="314" t="s">
        <v>19</v>
      </c>
      <c r="P121" s="314" t="s">
        <v>20</v>
      </c>
    </row>
    <row r="122" spans="1:16" ht="74.25" customHeight="1" thickBot="1">
      <c r="A122" s="281"/>
      <c r="B122" s="335"/>
      <c r="C122" s="336"/>
      <c r="D122" s="337"/>
      <c r="E122" s="339"/>
      <c r="F122" s="341"/>
      <c r="G122" s="102" t="s">
        <v>45</v>
      </c>
      <c r="H122" s="102" t="s">
        <v>46</v>
      </c>
      <c r="I122" s="102" t="s">
        <v>47</v>
      </c>
      <c r="J122" s="103" t="s">
        <v>48</v>
      </c>
      <c r="K122" s="104" t="s">
        <v>27</v>
      </c>
      <c r="L122" s="315"/>
      <c r="M122" s="315"/>
      <c r="N122" s="315"/>
      <c r="O122" s="315"/>
      <c r="P122" s="315"/>
    </row>
    <row r="123" spans="1:16" ht="15.75" thickBot="1">
      <c r="A123" s="105"/>
      <c r="B123" s="316">
        <v>1</v>
      </c>
      <c r="C123" s="317"/>
      <c r="D123" s="318"/>
      <c r="E123" s="17" t="s">
        <v>22</v>
      </c>
      <c r="F123" s="278">
        <v>3</v>
      </c>
      <c r="G123" s="278">
        <v>4</v>
      </c>
      <c r="H123" s="278">
        <v>5</v>
      </c>
      <c r="I123" s="7">
        <v>6</v>
      </c>
      <c r="J123" s="7">
        <v>7</v>
      </c>
      <c r="K123" s="48">
        <v>8</v>
      </c>
      <c r="L123" s="275">
        <v>9</v>
      </c>
      <c r="M123" s="7">
        <v>10</v>
      </c>
      <c r="N123" s="275">
        <v>11</v>
      </c>
      <c r="O123" s="7">
        <v>12</v>
      </c>
      <c r="P123" s="275">
        <v>13</v>
      </c>
    </row>
    <row r="124" spans="1:16" ht="35.25" customHeight="1" thickBot="1">
      <c r="A124" s="106" t="s">
        <v>182</v>
      </c>
      <c r="B124" s="388" t="s">
        <v>183</v>
      </c>
      <c r="C124" s="389"/>
      <c r="D124" s="390"/>
      <c r="E124" s="31"/>
      <c r="F124" s="31"/>
      <c r="G124" s="74"/>
      <c r="H124" s="74"/>
      <c r="I124" s="74"/>
      <c r="J124" s="74"/>
      <c r="K124" s="94">
        <f aca="true" t="shared" si="12" ref="K124:K139">G124</f>
        <v>0</v>
      </c>
      <c r="L124" s="33">
        <f>0+K124</f>
        <v>0</v>
      </c>
      <c r="M124" s="34">
        <f aca="true" t="shared" si="13" ref="M124:N140">E124-K124</f>
        <v>0</v>
      </c>
      <c r="N124" s="35">
        <f t="shared" si="13"/>
        <v>0</v>
      </c>
      <c r="O124" s="64">
        <v>0</v>
      </c>
      <c r="P124" s="65">
        <v>0</v>
      </c>
    </row>
    <row r="125" spans="1:16" ht="44.25" customHeight="1" thickBot="1">
      <c r="A125" s="107" t="s">
        <v>184</v>
      </c>
      <c r="B125" s="325" t="s">
        <v>185</v>
      </c>
      <c r="C125" s="326"/>
      <c r="D125" s="327"/>
      <c r="E125" s="31"/>
      <c r="F125" s="31"/>
      <c r="G125" s="74"/>
      <c r="H125" s="74"/>
      <c r="I125" s="74"/>
      <c r="J125" s="74"/>
      <c r="K125" s="94">
        <f t="shared" si="12"/>
        <v>0</v>
      </c>
      <c r="L125" s="33">
        <f>0+K125</f>
        <v>0</v>
      </c>
      <c r="M125" s="34">
        <f t="shared" si="13"/>
        <v>0</v>
      </c>
      <c r="N125" s="35">
        <f t="shared" si="13"/>
        <v>0</v>
      </c>
      <c r="O125" s="64">
        <v>0</v>
      </c>
      <c r="P125" s="65">
        <v>0</v>
      </c>
    </row>
    <row r="126" spans="1:16" ht="45.75" customHeight="1" thickBot="1">
      <c r="A126" s="108" t="s">
        <v>186</v>
      </c>
      <c r="B126" s="325" t="s">
        <v>187</v>
      </c>
      <c r="C126" s="326"/>
      <c r="D126" s="327"/>
      <c r="E126" s="31"/>
      <c r="F126" s="31">
        <f>400000+E126</f>
        <v>400000</v>
      </c>
      <c r="G126" s="74">
        <v>693.12</v>
      </c>
      <c r="H126" s="74"/>
      <c r="I126" s="74"/>
      <c r="J126" s="74"/>
      <c r="K126" s="94">
        <f>I126+G126</f>
        <v>693.12</v>
      </c>
      <c r="L126" s="33">
        <f>441536+K126</f>
        <v>442229.12</v>
      </c>
      <c r="M126" s="34">
        <f t="shared" si="13"/>
        <v>-693.12</v>
      </c>
      <c r="N126" s="35">
        <f t="shared" si="13"/>
        <v>-42229.119999999995</v>
      </c>
      <c r="O126" s="64">
        <v>0</v>
      </c>
      <c r="P126" s="65">
        <v>0</v>
      </c>
    </row>
    <row r="127" spans="1:16" ht="50.25" customHeight="1" thickBot="1">
      <c r="A127" s="108" t="s">
        <v>188</v>
      </c>
      <c r="B127" s="325" t="s">
        <v>189</v>
      </c>
      <c r="C127" s="326"/>
      <c r="D127" s="327"/>
      <c r="E127" s="31"/>
      <c r="F127" s="31">
        <f>0+E127</f>
        <v>0</v>
      </c>
      <c r="G127" s="74"/>
      <c r="H127" s="74"/>
      <c r="I127" s="74"/>
      <c r="J127" s="74"/>
      <c r="K127" s="94">
        <f>H127</f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45.75" customHeight="1" thickBot="1">
      <c r="A128" s="109" t="s">
        <v>190</v>
      </c>
      <c r="B128" s="325" t="s">
        <v>191</v>
      </c>
      <c r="C128" s="326"/>
      <c r="D128" s="327"/>
      <c r="E128" s="31"/>
      <c r="F128" s="31"/>
      <c r="G128" s="74"/>
      <c r="H128" s="74"/>
      <c r="I128" s="74"/>
      <c r="J128" s="74"/>
      <c r="K128" s="94">
        <f>G128</f>
        <v>0</v>
      </c>
      <c r="L128" s="33">
        <f>3980+K128</f>
        <v>3980</v>
      </c>
      <c r="M128" s="34">
        <f t="shared" si="13"/>
        <v>0</v>
      </c>
      <c r="N128" s="35">
        <f t="shared" si="13"/>
        <v>-3980</v>
      </c>
      <c r="O128" s="64">
        <v>0</v>
      </c>
      <c r="P128" s="65">
        <v>0</v>
      </c>
    </row>
    <row r="129" spans="1:16" ht="45" customHeight="1" thickBot="1">
      <c r="A129" s="109" t="s">
        <v>192</v>
      </c>
      <c r="B129" s="460" t="s">
        <v>193</v>
      </c>
      <c r="C129" s="461"/>
      <c r="D129" s="462"/>
      <c r="E129" s="31"/>
      <c r="F129" s="31">
        <f>225000+E129</f>
        <v>225000</v>
      </c>
      <c r="G129" s="74"/>
      <c r="H129" s="74"/>
      <c r="I129" s="74"/>
      <c r="J129" s="74"/>
      <c r="K129" s="94">
        <f>G129+I129</f>
        <v>0</v>
      </c>
      <c r="L129" s="33">
        <f>0+K129</f>
        <v>0</v>
      </c>
      <c r="M129" s="34">
        <f t="shared" si="13"/>
        <v>0</v>
      </c>
      <c r="N129" s="35">
        <f t="shared" si="13"/>
        <v>225000</v>
      </c>
      <c r="O129" s="64">
        <v>0</v>
      </c>
      <c r="P129" s="65">
        <v>0</v>
      </c>
    </row>
    <row r="130" spans="1:16" ht="23.25" customHeight="1" thickBot="1">
      <c r="A130" s="109" t="s">
        <v>213</v>
      </c>
      <c r="B130" s="311" t="s">
        <v>214</v>
      </c>
      <c r="C130" s="312"/>
      <c r="D130" s="313"/>
      <c r="E130" s="31"/>
      <c r="F130" s="31">
        <f>19190+E130</f>
        <v>19190</v>
      </c>
      <c r="G130" s="74"/>
      <c r="H130" s="74"/>
      <c r="I130" s="74"/>
      <c r="J130" s="74"/>
      <c r="K130" s="94">
        <f>G130+I130</f>
        <v>0</v>
      </c>
      <c r="L130" s="33">
        <f>22167+K130</f>
        <v>22167</v>
      </c>
      <c r="M130" s="34">
        <f t="shared" si="13"/>
        <v>0</v>
      </c>
      <c r="N130" s="35">
        <f t="shared" si="13"/>
        <v>-2977</v>
      </c>
      <c r="O130" s="64">
        <v>0</v>
      </c>
      <c r="P130" s="65">
        <v>0</v>
      </c>
    </row>
    <row r="131" spans="1:19" ht="33.75" customHeight="1" thickBot="1">
      <c r="A131" s="188">
        <v>15</v>
      </c>
      <c r="B131" s="402" t="s">
        <v>194</v>
      </c>
      <c r="C131" s="304"/>
      <c r="D131" s="305"/>
      <c r="E131" s="73">
        <f>E132+E133</f>
        <v>0</v>
      </c>
      <c r="F131" s="73">
        <f>F132</f>
        <v>56000</v>
      </c>
      <c r="G131" s="75">
        <f>G132+G133</f>
        <v>0</v>
      </c>
      <c r="H131" s="74"/>
      <c r="I131" s="74"/>
      <c r="J131" s="74"/>
      <c r="K131" s="93">
        <f t="shared" si="12"/>
        <v>0</v>
      </c>
      <c r="L131" s="55">
        <f>L132+L133</f>
        <v>8246</v>
      </c>
      <c r="M131" s="56">
        <f t="shared" si="13"/>
        <v>0</v>
      </c>
      <c r="N131" s="70">
        <f t="shared" si="13"/>
        <v>47754</v>
      </c>
      <c r="O131" s="58">
        <v>0</v>
      </c>
      <c r="P131" s="59">
        <v>0</v>
      </c>
      <c r="Q131" s="1"/>
      <c r="R131" s="1"/>
      <c r="S131" s="1"/>
    </row>
    <row r="132" spans="1:19" ht="29.25" customHeight="1" thickBot="1">
      <c r="A132" s="60" t="s">
        <v>195</v>
      </c>
      <c r="B132" s="301" t="s">
        <v>53</v>
      </c>
      <c r="C132" s="302"/>
      <c r="D132" s="303"/>
      <c r="E132" s="155"/>
      <c r="F132" s="31">
        <f>56000+E132</f>
        <v>56000</v>
      </c>
      <c r="G132" s="74"/>
      <c r="H132" s="74"/>
      <c r="I132" s="74"/>
      <c r="J132" s="74"/>
      <c r="K132" s="94">
        <f t="shared" si="12"/>
        <v>0</v>
      </c>
      <c r="L132" s="33">
        <f>8246+K132</f>
        <v>8246</v>
      </c>
      <c r="M132" s="34">
        <f t="shared" si="13"/>
        <v>0</v>
      </c>
      <c r="N132" s="35">
        <f t="shared" si="13"/>
        <v>47754</v>
      </c>
      <c r="O132" s="64">
        <v>0</v>
      </c>
      <c r="P132" s="65">
        <v>0</v>
      </c>
      <c r="Q132" s="1"/>
      <c r="R132" s="1"/>
      <c r="S132" s="1"/>
    </row>
    <row r="133" spans="1:19" ht="32.25" customHeight="1" thickBot="1">
      <c r="A133" s="60" t="s">
        <v>196</v>
      </c>
      <c r="B133" s="301" t="s">
        <v>104</v>
      </c>
      <c r="C133" s="302"/>
      <c r="D133" s="303"/>
      <c r="E133" s="61"/>
      <c r="F133" s="31"/>
      <c r="G133" s="74"/>
      <c r="H133" s="74"/>
      <c r="I133" s="74"/>
      <c r="J133" s="74"/>
      <c r="K133" s="94">
        <f t="shared" si="12"/>
        <v>0</v>
      </c>
      <c r="L133" s="33">
        <f>0+K133</f>
        <v>0</v>
      </c>
      <c r="M133" s="34">
        <f t="shared" si="13"/>
        <v>0</v>
      </c>
      <c r="N133" s="35">
        <f t="shared" si="13"/>
        <v>0</v>
      </c>
      <c r="O133" s="64">
        <v>0</v>
      </c>
      <c r="P133" s="65">
        <v>0</v>
      </c>
      <c r="Q133" s="1"/>
      <c r="R133" s="1"/>
      <c r="S133" s="1"/>
    </row>
    <row r="134" spans="1:19" ht="30" customHeight="1" thickBot="1">
      <c r="A134" s="189">
        <v>16</v>
      </c>
      <c r="B134" s="402" t="s">
        <v>197</v>
      </c>
      <c r="C134" s="304"/>
      <c r="D134" s="305"/>
      <c r="E134" s="31">
        <v>0</v>
      </c>
      <c r="F134" s="73">
        <f>F135</f>
        <v>0</v>
      </c>
      <c r="G134" s="75">
        <f>G135+G136</f>
        <v>0</v>
      </c>
      <c r="H134" s="74"/>
      <c r="I134" s="74"/>
      <c r="J134" s="74"/>
      <c r="K134" s="93">
        <f t="shared" si="12"/>
        <v>0</v>
      </c>
      <c r="L134" s="55">
        <f>L135+L136</f>
        <v>77500</v>
      </c>
      <c r="M134" s="56">
        <f t="shared" si="13"/>
        <v>0</v>
      </c>
      <c r="N134" s="70">
        <f t="shared" si="13"/>
        <v>-77500</v>
      </c>
      <c r="O134" s="58">
        <v>0</v>
      </c>
      <c r="P134" s="59">
        <v>0</v>
      </c>
      <c r="Q134" s="1"/>
      <c r="R134" s="1"/>
      <c r="S134" s="1"/>
    </row>
    <row r="135" spans="1:19" ht="27" customHeight="1" thickBot="1">
      <c r="A135" s="60" t="s">
        <v>198</v>
      </c>
      <c r="B135" s="301" t="s">
        <v>53</v>
      </c>
      <c r="C135" s="302"/>
      <c r="D135" s="303"/>
      <c r="E135" s="61"/>
      <c r="F135" s="31">
        <v>0</v>
      </c>
      <c r="G135" s="74"/>
      <c r="H135" s="74"/>
      <c r="I135" s="74"/>
      <c r="J135" s="74"/>
      <c r="K135" s="94">
        <f t="shared" si="12"/>
        <v>0</v>
      </c>
      <c r="L135" s="33">
        <f>77500+K135</f>
        <v>77500</v>
      </c>
      <c r="M135" s="34">
        <f t="shared" si="13"/>
        <v>0</v>
      </c>
      <c r="N135" s="35">
        <f t="shared" si="13"/>
        <v>-77500</v>
      </c>
      <c r="O135" s="64">
        <v>0</v>
      </c>
      <c r="P135" s="65">
        <v>0</v>
      </c>
      <c r="Q135" s="1"/>
      <c r="R135" s="1"/>
      <c r="S135" s="1"/>
    </row>
    <row r="136" spans="1:19" ht="40.5" customHeight="1" thickBot="1">
      <c r="A136" s="60" t="s">
        <v>199</v>
      </c>
      <c r="B136" s="301" t="s">
        <v>104</v>
      </c>
      <c r="C136" s="302"/>
      <c r="D136" s="303"/>
      <c r="E136" s="61"/>
      <c r="F136" s="31"/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5" customHeight="1" thickBot="1">
      <c r="A137" s="188">
        <v>17</v>
      </c>
      <c r="B137" s="402" t="s">
        <v>200</v>
      </c>
      <c r="C137" s="304"/>
      <c r="D137" s="305"/>
      <c r="E137" s="73">
        <v>0</v>
      </c>
      <c r="F137" s="73">
        <f>F138</f>
        <v>0</v>
      </c>
      <c r="G137" s="75">
        <f>G138+G139</f>
        <v>0</v>
      </c>
      <c r="H137" s="75"/>
      <c r="I137" s="75"/>
      <c r="J137" s="75"/>
      <c r="K137" s="93">
        <f t="shared" si="12"/>
        <v>0</v>
      </c>
      <c r="L137" s="55">
        <f>L138</f>
        <v>0</v>
      </c>
      <c r="M137" s="56">
        <f t="shared" si="13"/>
        <v>0</v>
      </c>
      <c r="N137" s="70">
        <f t="shared" si="13"/>
        <v>0</v>
      </c>
      <c r="O137" s="58">
        <v>0</v>
      </c>
      <c r="P137" s="59">
        <v>0</v>
      </c>
      <c r="Q137" s="1"/>
      <c r="R137" s="1"/>
      <c r="S137" s="1"/>
    </row>
    <row r="138" spans="1:19" ht="27" customHeight="1" thickBot="1">
      <c r="A138" s="60" t="s">
        <v>201</v>
      </c>
      <c r="B138" s="301" t="s">
        <v>53</v>
      </c>
      <c r="C138" s="302"/>
      <c r="D138" s="303"/>
      <c r="E138" s="61"/>
      <c r="F138" s="31"/>
      <c r="G138" s="74"/>
      <c r="H138" s="74"/>
      <c r="I138" s="74"/>
      <c r="J138" s="74"/>
      <c r="K138" s="94">
        <f t="shared" si="12"/>
        <v>0</v>
      </c>
      <c r="L138" s="33">
        <f>0+K138</f>
        <v>0</v>
      </c>
      <c r="M138" s="34">
        <f t="shared" si="13"/>
        <v>0</v>
      </c>
      <c r="N138" s="35">
        <f t="shared" si="13"/>
        <v>0</v>
      </c>
      <c r="O138" s="64">
        <v>0</v>
      </c>
      <c r="P138" s="65">
        <v>0</v>
      </c>
      <c r="Q138" s="1"/>
      <c r="R138" s="1"/>
      <c r="S138" s="1"/>
    </row>
    <row r="139" spans="1:19" ht="29.25" customHeight="1" thickBot="1">
      <c r="A139" s="60" t="s">
        <v>202</v>
      </c>
      <c r="B139" s="301" t="s">
        <v>104</v>
      </c>
      <c r="C139" s="302"/>
      <c r="D139" s="303"/>
      <c r="E139" s="61"/>
      <c r="F139" s="31"/>
      <c r="G139" s="74"/>
      <c r="H139" s="74"/>
      <c r="I139" s="74"/>
      <c r="J139" s="74"/>
      <c r="K139" s="94">
        <f t="shared" si="12"/>
        <v>0</v>
      </c>
      <c r="L139" s="33">
        <f>0+K139</f>
        <v>0</v>
      </c>
      <c r="M139" s="34">
        <f t="shared" si="13"/>
        <v>0</v>
      </c>
      <c r="N139" s="35">
        <f t="shared" si="13"/>
        <v>0</v>
      </c>
      <c r="O139" s="64">
        <v>0</v>
      </c>
      <c r="P139" s="65">
        <v>0</v>
      </c>
      <c r="Q139" s="1"/>
      <c r="R139" s="1"/>
      <c r="S139" s="1"/>
    </row>
    <row r="140" spans="1:19" ht="21.75" customHeight="1" thickBot="1">
      <c r="A140" s="110">
        <v>18</v>
      </c>
      <c r="B140" s="354" t="s">
        <v>42</v>
      </c>
      <c r="C140" s="306"/>
      <c r="D140" s="307"/>
      <c r="E140" s="31">
        <v>0</v>
      </c>
      <c r="F140" s="31"/>
      <c r="G140" s="74"/>
      <c r="H140" s="74"/>
      <c r="I140" s="74"/>
      <c r="J140" s="75"/>
      <c r="K140" s="93">
        <f>J140</f>
        <v>0</v>
      </c>
      <c r="L140" s="55">
        <f>890351.89+K140</f>
        <v>890351.89</v>
      </c>
      <c r="M140" s="56">
        <f>E140-K140</f>
        <v>0</v>
      </c>
      <c r="N140" s="70">
        <f t="shared" si="13"/>
        <v>-890351.89</v>
      </c>
      <c r="O140" s="58">
        <v>0</v>
      </c>
      <c r="P140" s="59">
        <v>0</v>
      </c>
      <c r="Q140" s="1"/>
      <c r="R140" s="1"/>
      <c r="S140" s="1"/>
    </row>
    <row r="141" spans="1:19" ht="51.75" customHeight="1" thickBot="1">
      <c r="A141" s="112"/>
      <c r="B141" s="484" t="s">
        <v>203</v>
      </c>
      <c r="C141" s="295"/>
      <c r="D141" s="295"/>
      <c r="E141" s="298"/>
      <c r="F141" s="113"/>
      <c r="G141" s="284" t="s">
        <v>4</v>
      </c>
      <c r="H141" s="273" t="s">
        <v>5</v>
      </c>
      <c r="I141" s="342" t="s">
        <v>6</v>
      </c>
      <c r="J141" s="344"/>
      <c r="K141" s="104" t="s">
        <v>11</v>
      </c>
      <c r="L141" s="285" t="s">
        <v>8</v>
      </c>
      <c r="M141" s="285" t="s">
        <v>9</v>
      </c>
      <c r="N141" s="286" t="s">
        <v>10</v>
      </c>
      <c r="O141" s="287" t="s">
        <v>228</v>
      </c>
      <c r="P141" s="274"/>
      <c r="Q141" s="1"/>
      <c r="R141" s="1"/>
      <c r="S141" s="1"/>
    </row>
    <row r="142" spans="1:19" ht="21" customHeight="1" thickBot="1">
      <c r="A142" s="118"/>
      <c r="B142" s="484" t="s">
        <v>12</v>
      </c>
      <c r="C142" s="295"/>
      <c r="D142" s="295"/>
      <c r="E142" s="298"/>
      <c r="F142" s="119"/>
      <c r="G142" s="119">
        <v>0</v>
      </c>
      <c r="H142" s="4">
        <v>0</v>
      </c>
      <c r="I142" s="299">
        <v>0</v>
      </c>
      <c r="J142" s="300"/>
      <c r="K142" s="120"/>
      <c r="L142" s="4">
        <v>0</v>
      </c>
      <c r="M142" s="271">
        <v>0</v>
      </c>
      <c r="N142" s="271">
        <v>0</v>
      </c>
      <c r="O142" s="271">
        <v>0</v>
      </c>
      <c r="P142" s="4">
        <v>0</v>
      </c>
      <c r="Q142" s="1"/>
      <c r="R142" s="1"/>
      <c r="S142" s="1"/>
    </row>
    <row r="143" spans="1:19" ht="21" customHeight="1" thickBot="1">
      <c r="A143" s="112"/>
      <c r="B143" s="484" t="s">
        <v>13</v>
      </c>
      <c r="C143" s="295"/>
      <c r="D143" s="295"/>
      <c r="E143" s="298"/>
      <c r="F143" s="4"/>
      <c r="G143" s="4">
        <f>F10+G17-G32-G36-G40-G45-G55-G65-G68-G72-G75-G79-G87-G100-G132-G135-G138-G81</f>
        <v>-10842.259999999946</v>
      </c>
      <c r="H143" s="4">
        <f>G18+H10-H31-H35</f>
        <v>291700.99999999994</v>
      </c>
      <c r="I143" s="299">
        <f>I10+G19-I102-I66-I95-I76</f>
        <v>10.6</v>
      </c>
      <c r="J143" s="300"/>
      <c r="K143" s="120">
        <f>O10+G22-J54</f>
        <v>-34.66</v>
      </c>
      <c r="L143" s="4">
        <f>L10+G23-J140</f>
        <v>230457.41</v>
      </c>
      <c r="M143" s="271">
        <v>0</v>
      </c>
      <c r="N143" s="4">
        <v>0</v>
      </c>
      <c r="O143" s="215">
        <f>G20-H56</f>
        <v>0</v>
      </c>
      <c r="P143" s="4">
        <f>SUM(G143:O143)</f>
        <v>511292.08999999997</v>
      </c>
      <c r="Q143" s="1"/>
      <c r="R143" s="80">
        <f>P5+L16-L29</f>
        <v>511292.0899999961</v>
      </c>
      <c r="S143" s="37"/>
    </row>
    <row r="144" spans="1:19" ht="20.25" customHeight="1" thickBot="1">
      <c r="A144" s="122"/>
      <c r="B144" s="451" t="s">
        <v>251</v>
      </c>
      <c r="C144" s="288"/>
      <c r="D144" s="288"/>
      <c r="E144" s="289"/>
      <c r="F144" s="471"/>
      <c r="G144" s="290"/>
      <c r="H144" s="290"/>
      <c r="I144" s="290"/>
      <c r="J144" s="290"/>
      <c r="K144" s="290"/>
      <c r="L144" s="290"/>
      <c r="M144" s="290"/>
      <c r="N144" s="290"/>
      <c r="O144" s="452"/>
      <c r="P144" s="123">
        <f>P143</f>
        <v>511292.08999999997</v>
      </c>
      <c r="Q144" s="1"/>
      <c r="R144" s="37">
        <f>P5+L16-L29</f>
        <v>511292.0899999961</v>
      </c>
      <c r="S144" s="37"/>
    </row>
    <row r="145" spans="1:19" ht="15">
      <c r="A145" s="1"/>
      <c r="B145" s="124"/>
      <c r="C145" s="124"/>
      <c r="D145" s="124"/>
      <c r="E145" s="124"/>
      <c r="F145" s="125"/>
      <c r="G145" s="125"/>
      <c r="H145" s="125"/>
      <c r="I145" s="125"/>
      <c r="J145" s="125"/>
      <c r="K145" s="126"/>
      <c r="L145" s="125"/>
      <c r="M145" s="125"/>
      <c r="N145" s="125"/>
      <c r="O145" s="127"/>
      <c r="P145" s="128"/>
      <c r="Q145" s="1"/>
      <c r="R145" s="37"/>
      <c r="S145" s="1"/>
    </row>
    <row r="146" spans="1:19" ht="15" customHeight="1">
      <c r="A146" s="1"/>
      <c r="B146" s="293" t="s">
        <v>204</v>
      </c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4" t="s">
        <v>205</v>
      </c>
      <c r="P146" s="294"/>
      <c r="Q146" s="1"/>
      <c r="R146" s="80"/>
      <c r="S146" s="37"/>
    </row>
    <row r="147" spans="1:19" ht="15" customHeight="1">
      <c r="A147" s="1"/>
      <c r="B147" s="293" t="s">
        <v>206</v>
      </c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 t="s">
        <v>207</v>
      </c>
      <c r="P147" s="293"/>
      <c r="Q147" s="1"/>
      <c r="R147" s="1"/>
      <c r="S147" s="1"/>
    </row>
    <row r="148" spans="1:19" ht="15">
      <c r="A148" s="1"/>
      <c r="B148" s="269"/>
      <c r="C148" s="269"/>
      <c r="D148" s="269"/>
      <c r="E148" s="269"/>
      <c r="F148" s="269"/>
      <c r="G148" s="269"/>
      <c r="H148" s="269"/>
      <c r="I148" s="269"/>
      <c r="J148" s="130"/>
      <c r="K148" s="131"/>
      <c r="L148" s="130"/>
      <c r="M148" s="269"/>
      <c r="N148" s="269"/>
      <c r="O148" s="269"/>
      <c r="P148" s="130"/>
      <c r="Q148" s="1"/>
      <c r="R148" s="37"/>
      <c r="S148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32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1"/>
      <c r="P152" s="1"/>
      <c r="Q152" s="1"/>
      <c r="R152" s="1"/>
      <c r="S152" s="1"/>
    </row>
    <row r="153" spans="12:16" ht="15">
      <c r="L153" s="1"/>
      <c r="M153" s="1"/>
      <c r="N153" s="37"/>
      <c r="O153" s="1"/>
      <c r="P153" s="37"/>
    </row>
    <row r="154" spans="12:16" ht="15">
      <c r="L154" s="1"/>
      <c r="M154" s="1"/>
      <c r="N154" s="133"/>
      <c r="O154" s="1"/>
      <c r="P154" s="37"/>
    </row>
    <row r="155" spans="12:16" ht="15">
      <c r="L155" s="37"/>
      <c r="M155" s="1"/>
      <c r="N155" s="1"/>
      <c r="O155" s="1"/>
      <c r="P155" s="1"/>
    </row>
    <row r="156" spans="12:16" ht="15">
      <c r="L156" s="37"/>
      <c r="M156" s="37"/>
      <c r="N156" s="1"/>
      <c r="O156" s="1"/>
      <c r="P156" s="1"/>
    </row>
  </sheetData>
  <sheetProtection/>
  <mergeCells count="199">
    <mergeCell ref="B140:D140"/>
    <mergeCell ref="B146:E146"/>
    <mergeCell ref="F146:N146"/>
    <mergeCell ref="O146:P146"/>
    <mergeCell ref="B141:E141"/>
    <mergeCell ref="I141:J141"/>
    <mergeCell ref="B142:E142"/>
    <mergeCell ref="I142:J142"/>
    <mergeCell ref="B143:E143"/>
    <mergeCell ref="I143:J143"/>
    <mergeCell ref="B144:E144"/>
    <mergeCell ref="F144:O144"/>
    <mergeCell ref="B135:D135"/>
    <mergeCell ref="B136:D136"/>
    <mergeCell ref="B137:D137"/>
    <mergeCell ref="B138:D138"/>
    <mergeCell ref="B139:D139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9:P120"/>
    <mergeCell ref="B121:D122"/>
    <mergeCell ref="E121:E122"/>
    <mergeCell ref="F121:F122"/>
    <mergeCell ref="G121:K121"/>
    <mergeCell ref="L121:L122"/>
    <mergeCell ref="M121:M122"/>
    <mergeCell ref="N121:N122"/>
    <mergeCell ref="O121:O122"/>
    <mergeCell ref="P121:P122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O83:O84"/>
    <mergeCell ref="P83:P84"/>
    <mergeCell ref="B85:D85"/>
    <mergeCell ref="B86:D86"/>
    <mergeCell ref="B87:D87"/>
    <mergeCell ref="B88:D88"/>
    <mergeCell ref="E83:E84"/>
    <mergeCell ref="F83:F84"/>
    <mergeCell ref="G83:K83"/>
    <mergeCell ref="L83:L84"/>
    <mergeCell ref="M83:M84"/>
    <mergeCell ref="N83:N84"/>
    <mergeCell ref="B79:D79"/>
    <mergeCell ref="B80:D80"/>
    <mergeCell ref="B81:D81"/>
    <mergeCell ref="B82:D82"/>
    <mergeCell ref="A83:A84"/>
    <mergeCell ref="B83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47:E147"/>
    <mergeCell ref="F147:N147"/>
    <mergeCell ref="O147:P147"/>
    <mergeCell ref="B1:P1"/>
    <mergeCell ref="B2:P2"/>
    <mergeCell ref="B3:P3"/>
    <mergeCell ref="B4:P4"/>
    <mergeCell ref="B5:E5"/>
    <mergeCell ref="F5:O5"/>
    <mergeCell ref="B9:E9"/>
    <mergeCell ref="I9:J9"/>
    <mergeCell ref="B10:E10"/>
    <mergeCell ref="I10:J10"/>
    <mergeCell ref="B6:E6"/>
    <mergeCell ref="F6:O6"/>
    <mergeCell ref="B7:E7"/>
    <mergeCell ref="F7:P7"/>
    <mergeCell ref="B8:E8"/>
    <mergeCell ref="I8:J8"/>
    <mergeCell ref="P12:P13"/>
    <mergeCell ref="B14:D14"/>
    <mergeCell ref="G14:J14"/>
    <mergeCell ref="B20:D20"/>
    <mergeCell ref="G20:J20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2017-10-06T09:57:10Z</cp:lastPrinted>
  <dcterms:created xsi:type="dcterms:W3CDTF">2016-02-03T06:12:52Z</dcterms:created>
  <dcterms:modified xsi:type="dcterms:W3CDTF">2017-11-02T11:09:00Z</dcterms:modified>
  <cp:category/>
  <cp:version/>
  <cp:contentType/>
  <cp:contentStatus/>
</cp:coreProperties>
</file>